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8060" windowHeight="11460" activeTab="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solver_adj" localSheetId="4" hidden="1">Sheet5!$N$8:$N$9</definedName>
    <definedName name="solver_cvg" localSheetId="4" hidden="1">0.0001</definedName>
    <definedName name="solver_drv" localSheetId="4" hidden="1">2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Sheet5!$P$21</definedName>
    <definedName name="solver_pre" localSheetId="4" hidden="1">0.000001</definedName>
    <definedName name="solver_rbv" localSheetId="4" hidden="1">2</definedName>
    <definedName name="solver_rlx" localSheetId="4" hidden="1">2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2</definedName>
    <definedName name="solver_val" localSheetId="4" hidden="1">0</definedName>
    <definedName name="solver_ver" localSheetId="4" hidden="1">3</definedName>
  </definedNames>
  <calcPr calcId="145621"/>
</workbook>
</file>

<file path=xl/calcChain.xml><?xml version="1.0" encoding="utf-8"?>
<calcChain xmlns="http://schemas.openxmlformats.org/spreadsheetml/2006/main">
  <c r="E35" i="1" l="1"/>
  <c r="E36" i="1"/>
  <c r="E37" i="1"/>
  <c r="E26" i="1"/>
  <c r="E27" i="1"/>
  <c r="E28" i="1"/>
  <c r="E17" i="1"/>
  <c r="E18" i="1"/>
  <c r="E19" i="1"/>
  <c r="J27" i="5" l="1"/>
  <c r="K6" i="5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6" i="5"/>
  <c r="P21" i="5" l="1"/>
  <c r="L14" i="5" l="1"/>
  <c r="J23" i="5"/>
  <c r="K22" i="5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L13" i="5" s="1"/>
  <c r="K14" i="5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L6" i="5"/>
  <c r="I22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6" i="5"/>
  <c r="E23" i="5"/>
  <c r="F22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D22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6" i="5"/>
  <c r="L22" i="5" l="1"/>
  <c r="B54" i="1"/>
  <c r="O35" i="4"/>
  <c r="N35" i="4"/>
  <c r="O36" i="4"/>
  <c r="N36" i="4"/>
  <c r="O18" i="4"/>
  <c r="O17" i="4"/>
  <c r="F37" i="4"/>
  <c r="E37" i="4"/>
  <c r="F36" i="4"/>
  <c r="E36" i="4"/>
  <c r="F35" i="4"/>
  <c r="E35" i="4"/>
  <c r="F28" i="4"/>
  <c r="E28" i="4"/>
  <c r="F27" i="4"/>
  <c r="E27" i="4"/>
  <c r="F26" i="4"/>
  <c r="E26" i="4"/>
  <c r="F19" i="4"/>
  <c r="E19" i="4"/>
  <c r="N18" i="4" s="1"/>
  <c r="F18" i="4"/>
  <c r="E18" i="4"/>
  <c r="F17" i="4"/>
  <c r="E17" i="4"/>
  <c r="N17" i="4" l="1"/>
  <c r="P17" i="4" s="1"/>
  <c r="P36" i="4"/>
  <c r="O26" i="4"/>
  <c r="N26" i="4"/>
  <c r="P18" i="4"/>
  <c r="N27" i="4"/>
  <c r="O27" i="4"/>
  <c r="F48" i="3"/>
  <c r="F44" i="3"/>
  <c r="G20" i="3"/>
  <c r="F24" i="3"/>
  <c r="G24" i="3"/>
  <c r="G44" i="3"/>
  <c r="G48" i="3"/>
  <c r="P35" i="4" l="1"/>
  <c r="P26" i="4"/>
  <c r="P27" i="4"/>
  <c r="H23" i="3"/>
  <c r="H19" i="3"/>
  <c r="G19" i="3"/>
  <c r="G23" i="3"/>
  <c r="H47" i="3"/>
  <c r="H43" i="3"/>
  <c r="G47" i="3"/>
  <c r="G43" i="3"/>
  <c r="F35" i="3" l="1"/>
  <c r="F33" i="3"/>
  <c r="F31" i="3"/>
  <c r="F29" i="3"/>
  <c r="G33" i="3"/>
  <c r="G29" i="3"/>
  <c r="F11" i="3"/>
  <c r="E11" i="3"/>
  <c r="G31" i="3"/>
  <c r="G35" i="3"/>
  <c r="E35" i="3"/>
  <c r="E48" i="3"/>
  <c r="E47" i="3"/>
  <c r="E46" i="3"/>
  <c r="E44" i="3"/>
  <c r="E43" i="3"/>
  <c r="E42" i="3"/>
  <c r="E34" i="3"/>
  <c r="E33" i="3"/>
  <c r="E31" i="3"/>
  <c r="E30" i="3"/>
  <c r="E29" i="3"/>
  <c r="G32" i="3"/>
  <c r="E7" i="3"/>
  <c r="F7" i="3" s="1"/>
  <c r="F5" i="3"/>
  <c r="F20" i="3"/>
  <c r="E24" i="3"/>
  <c r="E23" i="3"/>
  <c r="E20" i="3"/>
  <c r="F23" i="3"/>
  <c r="E19" i="3"/>
  <c r="F19" i="3"/>
  <c r="E9" i="3"/>
  <c r="F9" i="3" s="1"/>
  <c r="G8" i="3"/>
  <c r="G5" i="3"/>
  <c r="E22" i="3"/>
  <c r="E18" i="3"/>
  <c r="E10" i="3"/>
  <c r="E5" i="3"/>
  <c r="E6" i="3"/>
  <c r="H33" i="3" l="1"/>
  <c r="I33" i="3" s="1"/>
  <c r="G7" i="3"/>
  <c r="G9" i="3"/>
  <c r="H9" i="3" s="1"/>
  <c r="I9" i="3" s="1"/>
  <c r="I19" i="3"/>
  <c r="G11" i="3"/>
  <c r="I23" i="3"/>
  <c r="F43" i="3"/>
  <c r="I43" i="3"/>
  <c r="I47" i="3"/>
  <c r="F47" i="3"/>
  <c r="F17" i="1" l="1"/>
  <c r="F18" i="1"/>
  <c r="F26" i="1"/>
  <c r="F28" i="1"/>
  <c r="F36" i="1"/>
  <c r="F37" i="1"/>
  <c r="F35" i="1"/>
  <c r="F27" i="1"/>
  <c r="N26" i="1"/>
  <c r="F19" i="1"/>
  <c r="B41" i="1"/>
  <c r="C46" i="1" s="1"/>
  <c r="C41" i="1" l="1"/>
  <c r="D46" i="1" s="1"/>
  <c r="D52" i="1" s="1"/>
  <c r="G52" i="1" s="1"/>
  <c r="O35" i="1"/>
  <c r="O36" i="1"/>
  <c r="N35" i="1"/>
  <c r="N36" i="1"/>
  <c r="C40" i="1"/>
  <c r="D45" i="1" s="1"/>
  <c r="D49" i="1" s="1"/>
  <c r="G49" i="1" s="1"/>
  <c r="O17" i="1"/>
  <c r="O18" i="1"/>
  <c r="C39" i="1"/>
  <c r="D44" i="1" s="1"/>
  <c r="D47" i="1" s="1"/>
  <c r="G47" i="1" s="1"/>
  <c r="C52" i="1"/>
  <c r="F52" i="1" s="1"/>
  <c r="C51" i="1"/>
  <c r="F51" i="1" s="1"/>
  <c r="B40" i="1"/>
  <c r="C45" i="1" s="1"/>
  <c r="C49" i="1" s="1"/>
  <c r="F49" i="1" s="1"/>
  <c r="N17" i="1"/>
  <c r="B39" i="1"/>
  <c r="C44" i="1" s="1"/>
  <c r="C47" i="1" s="1"/>
  <c r="F47" i="1" s="1"/>
  <c r="N18" i="1"/>
  <c r="O26" i="1"/>
  <c r="P26" i="1" s="1"/>
  <c r="O27" i="1"/>
  <c r="N27" i="1"/>
  <c r="D50" i="1" l="1"/>
  <c r="G50" i="1" s="1"/>
  <c r="P36" i="1"/>
  <c r="P27" i="1"/>
  <c r="D48" i="1"/>
  <c r="G48" i="1" s="1"/>
  <c r="P18" i="1"/>
  <c r="D51" i="1"/>
  <c r="G51" i="1" s="1"/>
  <c r="C50" i="1"/>
  <c r="F50" i="1" s="1"/>
  <c r="C48" i="1"/>
  <c r="F48" i="1" s="1"/>
  <c r="I49" i="1"/>
  <c r="I47" i="1"/>
  <c r="H47" i="1"/>
  <c r="H49" i="1"/>
  <c r="P17" i="1"/>
  <c r="P35" i="1"/>
</calcChain>
</file>

<file path=xl/sharedStrings.xml><?xml version="1.0" encoding="utf-8"?>
<sst xmlns="http://schemas.openxmlformats.org/spreadsheetml/2006/main" count="219" uniqueCount="71">
  <si>
    <t>DELTA undulator Hall probe assembly</t>
  </si>
  <si>
    <t>Measurements of probe angles</t>
  </si>
  <si>
    <t>Probe zero offsets:</t>
  </si>
  <si>
    <t>S/N 119</t>
  </si>
  <si>
    <t>S/N 120</t>
  </si>
  <si>
    <t>X</t>
  </si>
  <si>
    <t>Y</t>
  </si>
  <si>
    <t>Z</t>
  </si>
  <si>
    <t>1. Z-probe along the field</t>
  </si>
  <si>
    <t>2. Y-probe along the field</t>
  </si>
  <si>
    <t xml:space="preserve">3. X-probe opposite the field </t>
  </si>
  <si>
    <t>Offset corrected</t>
  </si>
  <si>
    <r>
      <t>∆</t>
    </r>
    <r>
      <rPr>
        <vertAlign val="subscript"/>
        <sz val="11"/>
        <color theme="1"/>
        <rFont val="Broadway"/>
        <family val="5"/>
      </rPr>
      <t>119-120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</si>
  <si>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</si>
  <si>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</si>
  <si>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Pitch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</si>
  <si>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</si>
  <si>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r>
      <t>Z</t>
    </r>
    <r>
      <rPr>
        <b/>
        <vertAlign val="subscript"/>
        <sz val="11"/>
        <color theme="1"/>
        <rFont val="Calibri"/>
        <family val="2"/>
        <scheme val="minor"/>
      </rPr>
      <t>Yaw</t>
    </r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</si>
  <si>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</t>
    </r>
  </si>
  <si>
    <t>XZ</t>
  </si>
  <si>
    <t>YZ</t>
  </si>
  <si>
    <t>ZZ</t>
  </si>
  <si>
    <t>XY</t>
  </si>
  <si>
    <t>YY</t>
  </si>
  <si>
    <t>ZY</t>
  </si>
  <si>
    <t>XX</t>
  </si>
  <si>
    <t>YX</t>
  </si>
  <si>
    <t>ZX</t>
  </si>
  <si>
    <t>S/N120</t>
  </si>
  <si>
    <t>Xr</t>
  </si>
  <si>
    <t>Xy</t>
  </si>
  <si>
    <t>Yr</t>
  </si>
  <si>
    <t>Yp</t>
  </si>
  <si>
    <t>Zp</t>
  </si>
  <si>
    <t>Zy</t>
  </si>
  <si>
    <t>Bc*Sy</t>
  </si>
  <si>
    <t>Bc*Sx</t>
  </si>
  <si>
    <t>Bc*Sz</t>
  </si>
  <si>
    <t>Sqx</t>
  </si>
  <si>
    <t>Sqy</t>
  </si>
  <si>
    <t>Sqz</t>
  </si>
  <si>
    <t>(mV)</t>
  </si>
  <si>
    <t>Angles(degrees)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</si>
  <si>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>roll,corr</t>
    </r>
  </si>
  <si>
    <r>
      <t>X</t>
    </r>
    <r>
      <rPr>
        <b/>
        <vertAlign val="subscript"/>
        <sz val="11"/>
        <color theme="1"/>
        <rFont val="Calibri"/>
        <family val="2"/>
        <scheme val="minor"/>
      </rPr>
      <t>roll, corr</t>
    </r>
  </si>
  <si>
    <t>(Degrees)</t>
  </si>
  <si>
    <t>Im = 700A</t>
  </si>
  <si>
    <t>NMR</t>
  </si>
  <si>
    <t>x</t>
  </si>
  <si>
    <t>y</t>
  </si>
  <si>
    <t>z</t>
  </si>
  <si>
    <t>Roll</t>
  </si>
  <si>
    <t>Pitch</t>
  </si>
  <si>
    <t>Deg.</t>
  </si>
  <si>
    <t>Rad</t>
  </si>
  <si>
    <t>Yaw</t>
  </si>
  <si>
    <t>Summary:</t>
  </si>
  <si>
    <t>Im = 600A</t>
  </si>
  <si>
    <t xml:space="preserve">3. X-probe along the field </t>
  </si>
  <si>
    <t>1. Z-probe opposite the field</t>
  </si>
  <si>
    <t>Measurement with rotary stage</t>
  </si>
  <si>
    <t>angle</t>
  </si>
  <si>
    <t>#119-x</t>
  </si>
  <si>
    <t>#120-x</t>
  </si>
  <si>
    <t>angle(deg)</t>
  </si>
  <si>
    <t>#119-y</t>
  </si>
  <si>
    <t>#120-y</t>
  </si>
  <si>
    <t>Roll-x</t>
  </si>
  <si>
    <t>Roll-y</t>
  </si>
  <si>
    <t>(0.5878 sin)</t>
  </si>
  <si>
    <t>(Cal.Magnet)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</si>
</sst>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Broadway"/>
      <family val="5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65" fontId="0" fillId="0" borderId="0" xfId="0" applyNumberFormat="1" applyAlignment="1">
      <alignment horizontal="center"/>
    </xf>
    <xf numFmtId="166" fontId="0" fillId="0" borderId="0" xfId="0" applyNumberFormat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0420144356955381"/>
                  <c:y val="-1.5374015748031496E-2"/>
                </c:manualLayout>
              </c:layout>
              <c:numFmt formatCode="#,##0.0000" sourceLinked="0"/>
            </c:trendlineLbl>
          </c:trendline>
          <c:xVal>
            <c:numRef>
              <c:f>Sheet5!$B$6:$B$20</c:f>
              <c:numCache>
                <c:formatCode>General</c:formatCode>
                <c:ptCount val="15"/>
                <c:pt idx="0">
                  <c:v>0</c:v>
                </c:pt>
                <c:pt idx="1">
                  <c:v>1.4959965014285714E-2</c:v>
                </c:pt>
                <c:pt idx="2">
                  <c:v>2.9919930028571427E-2</c:v>
                </c:pt>
                <c:pt idx="3">
                  <c:v>4.4879895042857137E-2</c:v>
                </c:pt>
                <c:pt idx="4">
                  <c:v>5.9839860057142855E-2</c:v>
                </c:pt>
                <c:pt idx="5">
                  <c:v>7.4799825071428572E-2</c:v>
                </c:pt>
                <c:pt idx="6">
                  <c:v>8.9759790085714275E-2</c:v>
                </c:pt>
                <c:pt idx="7">
                  <c:v>0.10471975509999999</c:v>
                </c:pt>
                <c:pt idx="8">
                  <c:v>8.9759790085714275E-2</c:v>
                </c:pt>
                <c:pt idx="9">
                  <c:v>7.4799825071428572E-2</c:v>
                </c:pt>
                <c:pt idx="10">
                  <c:v>5.9839860057142855E-2</c:v>
                </c:pt>
                <c:pt idx="11">
                  <c:v>4.4879895042857137E-2</c:v>
                </c:pt>
                <c:pt idx="12">
                  <c:v>2.9919930028571427E-2</c:v>
                </c:pt>
                <c:pt idx="13">
                  <c:v>1.4959965014285714E-2</c:v>
                </c:pt>
                <c:pt idx="14">
                  <c:v>0</c:v>
                </c:pt>
              </c:numCache>
            </c:numRef>
          </c:xVal>
          <c:yVal>
            <c:numRef>
              <c:f>Sheet5!$I$6:$I$20</c:f>
              <c:numCache>
                <c:formatCode>General</c:formatCode>
                <c:ptCount val="15"/>
                <c:pt idx="0">
                  <c:v>231.08</c:v>
                </c:pt>
                <c:pt idx="1">
                  <c:v>174</c:v>
                </c:pt>
                <c:pt idx="2">
                  <c:v>115.46</c:v>
                </c:pt>
                <c:pt idx="3">
                  <c:v>56.64</c:v>
                </c:pt>
                <c:pt idx="4">
                  <c:v>-2.4400000000000004</c:v>
                </c:pt>
                <c:pt idx="5">
                  <c:v>-61.44</c:v>
                </c:pt>
                <c:pt idx="6">
                  <c:v>-121.05000000000001</c:v>
                </c:pt>
                <c:pt idx="7">
                  <c:v>-179.81</c:v>
                </c:pt>
                <c:pt idx="8">
                  <c:v>-121.11</c:v>
                </c:pt>
                <c:pt idx="9">
                  <c:v>-61.28</c:v>
                </c:pt>
                <c:pt idx="10">
                  <c:v>-2.1799999999999997</c:v>
                </c:pt>
                <c:pt idx="11">
                  <c:v>56.53</c:v>
                </c:pt>
                <c:pt idx="12">
                  <c:v>115.14999999999999</c:v>
                </c:pt>
                <c:pt idx="13">
                  <c:v>173.18</c:v>
                </c:pt>
                <c:pt idx="14">
                  <c:v>231.03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44320"/>
        <c:axId val="40344896"/>
      </c:scatterChart>
      <c:valAx>
        <c:axId val="403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44896"/>
        <c:crosses val="autoZero"/>
        <c:crossBetween val="midCat"/>
      </c:valAx>
      <c:valAx>
        <c:axId val="40344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3443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13" name="TextBox 12"/>
        <xdr:cNvSpPr txBox="1"/>
      </xdr:nvSpPr>
      <xdr:spPr>
        <a:xfrm>
          <a:off x="3933825" y="45815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23" name="Group 22"/>
        <xdr:cNvGrpSpPr/>
      </xdr:nvGrpSpPr>
      <xdr:grpSpPr>
        <a:xfrm>
          <a:off x="4676775" y="4419600"/>
          <a:ext cx="2057400" cy="1213655"/>
          <a:chOff x="3295650" y="838200"/>
          <a:chExt cx="2057400" cy="1137455"/>
        </a:xfrm>
      </xdr:grpSpPr>
      <xdr:sp macro="" textlink="">
        <xdr:nvSpPr>
          <xdr:cNvPr id="2" name="Rectangle 1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" name="Straight Arrow Connector 3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Box 9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5" name="Straight Arrow Connector 14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21" name="Arc 20"/>
          <xdr:cNvSpPr/>
        </xdr:nvSpPr>
        <xdr:spPr>
          <a:xfrm rot="11517524" flipV="1">
            <a:off x="3551304" y="1192535"/>
            <a:ext cx="605160" cy="648797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Arc 21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24" name="TextBox 23"/>
        <xdr:cNvSpPr txBox="1"/>
      </xdr:nvSpPr>
      <xdr:spPr>
        <a:xfrm>
          <a:off x="38671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26" name="Rectangle 25"/>
        <xdr:cNvSpPr/>
      </xdr:nvSpPr>
      <xdr:spPr>
        <a:xfrm rot="16200000">
          <a:off x="4041375" y="2178453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27" name="Straight Arrow Connector 26"/>
        <xdr:cNvCxnSpPr/>
      </xdr:nvCxnSpPr>
      <xdr:spPr>
        <a:xfrm flipV="1">
          <a:off x="4203301" y="2400300"/>
          <a:ext cx="6749" cy="778279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28" name="Straight Arrow Connector 27"/>
        <xdr:cNvCxnSpPr/>
      </xdr:nvCxnSpPr>
      <xdr:spPr>
        <a:xfrm rot="16200000" flipH="1">
          <a:off x="4598587" y="3069041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9" name="Straight Arrow Connector 28"/>
        <xdr:cNvCxnSpPr/>
      </xdr:nvCxnSpPr>
      <xdr:spPr>
        <a:xfrm rot="16200000" flipH="1" flipV="1">
          <a:off x="45842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30" name="TextBox 29"/>
        <xdr:cNvSpPr txBox="1"/>
      </xdr:nvSpPr>
      <xdr:spPr>
        <a:xfrm>
          <a:off x="43158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31" name="TextBox 30"/>
        <xdr:cNvSpPr txBox="1"/>
      </xdr:nvSpPr>
      <xdr:spPr>
        <a:xfrm>
          <a:off x="4601615" y="3172864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32" name="TextBox 31"/>
        <xdr:cNvSpPr txBox="1"/>
      </xdr:nvSpPr>
      <xdr:spPr>
        <a:xfrm>
          <a:off x="4186340" y="2957614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33" name="TextBox 32"/>
        <xdr:cNvSpPr txBox="1"/>
      </xdr:nvSpPr>
      <xdr:spPr>
        <a:xfrm>
          <a:off x="4985882" y="321423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34" name="Straight Arrow Connector 33"/>
        <xdr:cNvCxnSpPr/>
      </xdr:nvCxnSpPr>
      <xdr:spPr>
        <a:xfrm rot="16200000" flipH="1">
          <a:off x="4874812" y="2802341"/>
          <a:ext cx="371476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35" name="TextBox 34"/>
        <xdr:cNvSpPr txBox="1"/>
      </xdr:nvSpPr>
      <xdr:spPr>
        <a:xfrm>
          <a:off x="5170711" y="2808509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293288</xdr:colOff>
      <xdr:row>13</xdr:row>
      <xdr:rowOff>87716</xdr:rowOff>
    </xdr:from>
    <xdr:to>
      <xdr:col>8</xdr:col>
      <xdr:colOff>264713</xdr:colOff>
      <xdr:row>16</xdr:row>
      <xdr:rowOff>11516</xdr:rowOff>
    </xdr:to>
    <xdr:sp macro="" textlink="">
      <xdr:nvSpPr>
        <xdr:cNvPr id="36" name="Arc 35"/>
        <xdr:cNvSpPr/>
      </xdr:nvSpPr>
      <xdr:spPr>
        <a:xfrm rot="6255272" flipV="1">
          <a:off x="4627163" y="2583266"/>
          <a:ext cx="523875" cy="581025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37" name="Arc 36"/>
        <xdr:cNvSpPr/>
      </xdr:nvSpPr>
      <xdr:spPr>
        <a:xfrm rot="5701690">
          <a:off x="4666235" y="2787580"/>
          <a:ext cx="450436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39" name="TextBox 38"/>
        <xdr:cNvSpPr txBox="1"/>
      </xdr:nvSpPr>
      <xdr:spPr>
        <a:xfrm>
          <a:off x="3962400" y="6296025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41" name="Rectangle 40"/>
        <xdr:cNvSpPr/>
      </xdr:nvSpPr>
      <xdr:spPr>
        <a:xfrm>
          <a:off x="4781550" y="6619875"/>
          <a:ext cx="1685925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42" name="Straight Arrow Connector 41"/>
        <xdr:cNvCxnSpPr/>
      </xdr:nvCxnSpPr>
      <xdr:spPr>
        <a:xfrm flipV="1">
          <a:off x="4286250" y="6172200"/>
          <a:ext cx="9525" cy="7715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43" name="Straight Arrow Connector 42"/>
        <xdr:cNvCxnSpPr/>
      </xdr:nvCxnSpPr>
      <xdr:spPr>
        <a:xfrm flipH="1">
          <a:off x="4514850" y="6677025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200027</xdr:colOff>
      <xdr:row>31</xdr:row>
      <xdr:rowOff>76200</xdr:rowOff>
    </xdr:from>
    <xdr:to>
      <xdr:col>8</xdr:col>
      <xdr:colOff>219075</xdr:colOff>
      <xdr:row>34</xdr:row>
      <xdr:rowOff>161926</xdr:rowOff>
    </xdr:to>
    <xdr:cxnSp macro="">
      <xdr:nvCxnSpPr>
        <xdr:cNvPr id="44" name="Straight Arrow Connector 43"/>
        <xdr:cNvCxnSpPr/>
      </xdr:nvCxnSpPr>
      <xdr:spPr>
        <a:xfrm flipV="1">
          <a:off x="5495927" y="6210300"/>
          <a:ext cx="19048" cy="65722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</xdr:colOff>
      <xdr:row>32</xdr:row>
      <xdr:rowOff>19050</xdr:rowOff>
    </xdr:from>
    <xdr:to>
      <xdr:col>9</xdr:col>
      <xdr:colOff>397974</xdr:colOff>
      <xdr:row>33</xdr:row>
      <xdr:rowOff>108755</xdr:rowOff>
    </xdr:to>
    <xdr:sp macro="" textlink="">
      <xdr:nvSpPr>
        <xdr:cNvPr id="45" name="TextBox 44"/>
        <xdr:cNvSpPr txBox="1"/>
      </xdr:nvSpPr>
      <xdr:spPr>
        <a:xfrm>
          <a:off x="6038850" y="63436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46" name="TextBox 45"/>
        <xdr:cNvSpPr txBox="1"/>
      </xdr:nvSpPr>
      <xdr:spPr>
        <a:xfrm>
          <a:off x="4419600" y="639127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8</xdr:col>
      <xdr:colOff>285750</xdr:colOff>
      <xdr:row>31</xdr:row>
      <xdr:rowOff>104775</xdr:rowOff>
    </xdr:from>
    <xdr:to>
      <xdr:col>9</xdr:col>
      <xdr:colOff>105691</xdr:colOff>
      <xdr:row>33</xdr:row>
      <xdr:rowOff>3980</xdr:rowOff>
    </xdr:to>
    <xdr:sp macro="" textlink="">
      <xdr:nvSpPr>
        <xdr:cNvPr id="48" name="TextBox 47"/>
        <xdr:cNvSpPr txBox="1"/>
      </xdr:nvSpPr>
      <xdr:spPr>
        <a:xfrm>
          <a:off x="5581650" y="6238875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8</xdr:col>
      <xdr:colOff>200027</xdr:colOff>
      <xdr:row>32</xdr:row>
      <xdr:rowOff>104775</xdr:rowOff>
    </xdr:from>
    <xdr:to>
      <xdr:col>9</xdr:col>
      <xdr:colOff>114300</xdr:colOff>
      <xdr:row>34</xdr:row>
      <xdr:rowOff>161926</xdr:rowOff>
    </xdr:to>
    <xdr:cxnSp macro="">
      <xdr:nvCxnSpPr>
        <xdr:cNvPr id="49" name="Straight Arrow Connector 48"/>
        <xdr:cNvCxnSpPr/>
      </xdr:nvCxnSpPr>
      <xdr:spPr>
        <a:xfrm flipV="1">
          <a:off x="5495927" y="6429375"/>
          <a:ext cx="523873" cy="43815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266700</xdr:colOff>
      <xdr:row>30</xdr:row>
      <xdr:rowOff>76200</xdr:rowOff>
    </xdr:from>
    <xdr:to>
      <xdr:col>8</xdr:col>
      <xdr:colOff>536133</xdr:colOff>
      <xdr:row>31</xdr:row>
      <xdr:rowOff>165905</xdr:rowOff>
    </xdr:to>
    <xdr:sp macro="" textlink="">
      <xdr:nvSpPr>
        <xdr:cNvPr id="50" name="TextBox 49"/>
        <xdr:cNvSpPr txBox="1"/>
      </xdr:nvSpPr>
      <xdr:spPr>
        <a:xfrm>
          <a:off x="5562600" y="601980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8</xdr:col>
      <xdr:colOff>121769</xdr:colOff>
      <xdr:row>32</xdr:row>
      <xdr:rowOff>104748</xdr:rowOff>
    </xdr:from>
    <xdr:to>
      <xdr:col>8</xdr:col>
      <xdr:colOff>545626</xdr:colOff>
      <xdr:row>34</xdr:row>
      <xdr:rowOff>126337</xdr:rowOff>
    </xdr:to>
    <xdr:sp macro="" textlink="">
      <xdr:nvSpPr>
        <xdr:cNvPr id="51" name="Arc 50"/>
        <xdr:cNvSpPr/>
      </xdr:nvSpPr>
      <xdr:spPr>
        <a:xfrm rot="4160918" flipH="1">
          <a:off x="5428303" y="6418714"/>
          <a:ext cx="402589" cy="423857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402048</xdr:colOff>
      <xdr:row>32</xdr:row>
      <xdr:rowOff>81386</xdr:rowOff>
    </xdr:from>
    <xdr:to>
      <xdr:col>9</xdr:col>
      <xdr:colOff>55151</xdr:colOff>
      <xdr:row>35</xdr:row>
      <xdr:rowOff>80536</xdr:rowOff>
    </xdr:to>
    <xdr:sp macro="" textlink="">
      <xdr:nvSpPr>
        <xdr:cNvPr id="52" name="Arc 51"/>
        <xdr:cNvSpPr/>
      </xdr:nvSpPr>
      <xdr:spPr>
        <a:xfrm rot="9986803" flipV="1">
          <a:off x="5088348" y="6405986"/>
          <a:ext cx="872303" cy="608750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285750</xdr:colOff>
      <xdr:row>31</xdr:row>
      <xdr:rowOff>133350</xdr:rowOff>
    </xdr:from>
    <xdr:to>
      <xdr:col>8</xdr:col>
      <xdr:colOff>105691</xdr:colOff>
      <xdr:row>33</xdr:row>
      <xdr:rowOff>70655</xdr:rowOff>
    </xdr:to>
    <xdr:sp macro="" textlink="">
      <xdr:nvSpPr>
        <xdr:cNvPr id="56" name="TextBox 55"/>
        <xdr:cNvSpPr txBox="1"/>
      </xdr:nvSpPr>
      <xdr:spPr>
        <a:xfrm>
          <a:off x="4972050" y="6267450"/>
          <a:ext cx="429541" cy="318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571494</xdr:colOff>
      <xdr:row>9</xdr:row>
      <xdr:rowOff>133352</xdr:rowOff>
    </xdr:from>
    <xdr:to>
      <xdr:col>10</xdr:col>
      <xdr:colOff>219067</xdr:colOff>
      <xdr:row>19</xdr:row>
      <xdr:rowOff>61134</xdr:rowOff>
    </xdr:to>
    <xdr:grpSp>
      <xdr:nvGrpSpPr>
        <xdr:cNvPr id="18" name="Group 17"/>
        <xdr:cNvGrpSpPr/>
      </xdr:nvGrpSpPr>
      <xdr:grpSpPr>
        <a:xfrm>
          <a:off x="3619494" y="2009777"/>
          <a:ext cx="2695573" cy="2023282"/>
          <a:chOff x="7037764" y="2190406"/>
          <a:chExt cx="2315786" cy="1347349"/>
        </a:xfrm>
      </xdr:grpSpPr>
      <xdr:sp macro="" textlink="">
        <xdr:nvSpPr>
          <xdr:cNvPr id="19" name="TextBox 18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20" name="Rectangle 19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1" name="Straight Arrow Connector 20"/>
          <xdr:cNvCxnSpPr/>
        </xdr:nvCxnSpPr>
        <xdr:spPr>
          <a:xfrm flipV="1">
            <a:off x="7305675" y="2400347"/>
            <a:ext cx="0" cy="542878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/>
          <xdr:cNvCxnSpPr/>
        </xdr:nvCxnSpPr>
        <xdr:spPr>
          <a:xfrm flipH="1" flipV="1">
            <a:off x="7953375" y="2270779"/>
            <a:ext cx="9526" cy="6783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TextBox 23"/>
          <xdr:cNvSpPr txBox="1"/>
        </xdr:nvSpPr>
        <xdr:spPr>
          <a:xfrm>
            <a:off x="7932721" y="2190406"/>
            <a:ext cx="264624" cy="337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7371008" y="2498218"/>
            <a:ext cx="504625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7875964" y="2987100"/>
            <a:ext cx="429541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28" name="Straight Arrow Connector 27"/>
          <xdr:cNvCxnSpPr/>
        </xdr:nvCxnSpPr>
        <xdr:spPr>
          <a:xfrm flipH="1">
            <a:off x="7591425" y="2949155"/>
            <a:ext cx="371476" cy="36587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Box 28"/>
          <xdr:cNvSpPr txBox="1"/>
        </xdr:nvSpPr>
        <xdr:spPr>
          <a:xfrm>
            <a:off x="7334250" y="3238779"/>
            <a:ext cx="269433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30" name="Arc 29"/>
          <xdr:cNvSpPr/>
        </xdr:nvSpPr>
        <xdr:spPr>
          <a:xfrm rot="372251" flipH="1">
            <a:off x="7529809" y="2710162"/>
            <a:ext cx="714477" cy="410467"/>
          </a:xfrm>
          <a:prstGeom prst="arc">
            <a:avLst>
              <a:gd name="adj1" fmla="val 15922669"/>
              <a:gd name="adj2" fmla="val 375158"/>
            </a:avLst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Arc 30"/>
          <xdr:cNvSpPr/>
        </xdr:nvSpPr>
        <xdr:spPr>
          <a:xfrm rot="15158097">
            <a:off x="7764377" y="2794887"/>
            <a:ext cx="558970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2" name="Arc 31"/>
          <xdr:cNvSpPr/>
        </xdr:nvSpPr>
        <xdr:spPr>
          <a:xfrm rot="11956117">
            <a:off x="7533879" y="2844426"/>
            <a:ext cx="448468" cy="388097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7133014" y="3017053"/>
            <a:ext cx="429541" cy="310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Yaw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2</xdr:row>
      <xdr:rowOff>76199</xdr:rowOff>
    </xdr:from>
    <xdr:to>
      <xdr:col>14</xdr:col>
      <xdr:colOff>228598</xdr:colOff>
      <xdr:row>12</xdr:row>
      <xdr:rowOff>95251</xdr:rowOff>
    </xdr:to>
    <xdr:grpSp>
      <xdr:nvGrpSpPr>
        <xdr:cNvPr id="2" name="Group 1"/>
        <xdr:cNvGrpSpPr/>
      </xdr:nvGrpSpPr>
      <xdr:grpSpPr>
        <a:xfrm>
          <a:off x="6105525" y="457199"/>
          <a:ext cx="2695573" cy="1924052"/>
          <a:chOff x="7037764" y="2406065"/>
          <a:chExt cx="2315786" cy="1281270"/>
        </a:xfrm>
      </xdr:grpSpPr>
      <xdr:sp macro="" textlink="">
        <xdr:nvSpPr>
          <xdr:cNvPr id="3" name="TextBox 2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4" name="Rectangle 3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" name="Straight Arrow Connector 4"/>
          <xdr:cNvCxnSpPr/>
        </xdr:nvCxnSpPr>
        <xdr:spPr>
          <a:xfrm flipV="1">
            <a:off x="7305675" y="2406065"/>
            <a:ext cx="2128" cy="537160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>
            <a:off x="7962900" y="2949154"/>
            <a:ext cx="7725" cy="7191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/>
          <xdr:cNvSpPr txBox="1"/>
        </xdr:nvSpPr>
        <xdr:spPr>
          <a:xfrm>
            <a:off x="8014551" y="3490704"/>
            <a:ext cx="264624" cy="196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7387374" y="3138851"/>
            <a:ext cx="504625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8252382" y="3113958"/>
            <a:ext cx="429541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2" name="Straight Arrow Connector 11"/>
          <xdr:cNvCxnSpPr/>
        </xdr:nvCxnSpPr>
        <xdr:spPr>
          <a:xfrm flipV="1">
            <a:off x="7962901" y="2691496"/>
            <a:ext cx="400508" cy="25765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8152549" y="2509344"/>
            <a:ext cx="269433" cy="169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14" name="Arc 13"/>
          <xdr:cNvSpPr/>
        </xdr:nvSpPr>
        <xdr:spPr>
          <a:xfrm rot="21227749" flipH="1" flipV="1">
            <a:off x="7537992" y="2754562"/>
            <a:ext cx="714477" cy="410467"/>
          </a:xfrm>
          <a:prstGeom prst="arc">
            <a:avLst>
              <a:gd name="adj1" fmla="val 15922669"/>
              <a:gd name="adj2" fmla="val 375158"/>
            </a:avLst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Arc 14"/>
          <xdr:cNvSpPr/>
        </xdr:nvSpPr>
        <xdr:spPr>
          <a:xfrm rot="14319779" flipH="1" flipV="1">
            <a:off x="7344473" y="2435571"/>
            <a:ext cx="740783" cy="1169221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9</xdr:col>
      <xdr:colOff>590550</xdr:colOff>
      <xdr:row>15</xdr:row>
      <xdr:rowOff>19053</xdr:rowOff>
    </xdr:from>
    <xdr:to>
      <xdr:col>14</xdr:col>
      <xdr:colOff>238123</xdr:colOff>
      <xdr:row>25</xdr:row>
      <xdr:rowOff>123828</xdr:rowOff>
    </xdr:to>
    <xdr:grpSp>
      <xdr:nvGrpSpPr>
        <xdr:cNvPr id="21" name="Group 20"/>
        <xdr:cNvGrpSpPr/>
      </xdr:nvGrpSpPr>
      <xdr:grpSpPr>
        <a:xfrm>
          <a:off x="6115050" y="2876553"/>
          <a:ext cx="2695573" cy="2009775"/>
          <a:chOff x="7037764" y="2406065"/>
          <a:chExt cx="2315786" cy="1338354"/>
        </a:xfrm>
      </xdr:grpSpPr>
      <xdr:sp macro="" textlink="">
        <xdr:nvSpPr>
          <xdr:cNvPr id="22" name="TextBox 21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23" name="Rectangle 22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4" name="Straight Arrow Connector 23"/>
          <xdr:cNvCxnSpPr/>
        </xdr:nvCxnSpPr>
        <xdr:spPr>
          <a:xfrm flipV="1">
            <a:off x="7305675" y="2406065"/>
            <a:ext cx="2128" cy="537160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Arrow Connector 24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Arrow Connector 25"/>
          <xdr:cNvCxnSpPr/>
        </xdr:nvCxnSpPr>
        <xdr:spPr>
          <a:xfrm>
            <a:off x="7962900" y="2949154"/>
            <a:ext cx="7725" cy="78891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TextBox 26"/>
          <xdr:cNvSpPr txBox="1"/>
        </xdr:nvSpPr>
        <xdr:spPr>
          <a:xfrm>
            <a:off x="7122604" y="3294074"/>
            <a:ext cx="264624" cy="196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7327703" y="3361332"/>
            <a:ext cx="429541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31" name="Straight Arrow Connector 30"/>
          <xdr:cNvCxnSpPr/>
        </xdr:nvCxnSpPr>
        <xdr:spPr>
          <a:xfrm flipH="1">
            <a:off x="7389633" y="2949156"/>
            <a:ext cx="573268" cy="351257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TextBox 31"/>
          <xdr:cNvSpPr txBox="1"/>
        </xdr:nvSpPr>
        <xdr:spPr>
          <a:xfrm>
            <a:off x="7694301" y="3574952"/>
            <a:ext cx="269433" cy="169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34" name="Arc 33"/>
          <xdr:cNvSpPr/>
        </xdr:nvSpPr>
        <xdr:spPr>
          <a:xfrm rot="11057255">
            <a:off x="7582335" y="3020912"/>
            <a:ext cx="769457" cy="43010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Arc 34"/>
          <xdr:cNvSpPr/>
        </xdr:nvSpPr>
        <xdr:spPr>
          <a:xfrm rot="21094834" flipH="1" flipV="1">
            <a:off x="7570779" y="2517646"/>
            <a:ext cx="660065" cy="74814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7714006" y="3086824"/>
            <a:ext cx="429541" cy="31003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Yaw</a:t>
            </a:r>
          </a:p>
        </xdr:txBody>
      </xdr:sp>
    </xdr:grpSp>
    <xdr:clientData/>
  </xdr:twoCellAnchor>
  <xdr:twoCellAnchor>
    <xdr:from>
      <xdr:col>10</xdr:col>
      <xdr:colOff>314325</xdr:colOff>
      <xdr:row>26</xdr:row>
      <xdr:rowOff>123826</xdr:rowOff>
    </xdr:from>
    <xdr:to>
      <xdr:col>14</xdr:col>
      <xdr:colOff>571498</xdr:colOff>
      <xdr:row>35</xdr:row>
      <xdr:rowOff>152402</xdr:rowOff>
    </xdr:to>
    <xdr:grpSp>
      <xdr:nvGrpSpPr>
        <xdr:cNvPr id="40" name="Group 39"/>
        <xdr:cNvGrpSpPr/>
      </xdr:nvGrpSpPr>
      <xdr:grpSpPr>
        <a:xfrm>
          <a:off x="6448425" y="5076826"/>
          <a:ext cx="2695573" cy="1743076"/>
          <a:chOff x="7037764" y="2342636"/>
          <a:chExt cx="2315786" cy="1160754"/>
        </a:xfrm>
      </xdr:grpSpPr>
      <xdr:sp macro="" textlink="">
        <xdr:nvSpPr>
          <xdr:cNvPr id="41" name="TextBox 40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42" name="Rectangle 41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3" name="Straight Arrow Connector 42"/>
          <xdr:cNvCxnSpPr/>
        </xdr:nvCxnSpPr>
        <xdr:spPr>
          <a:xfrm flipV="1">
            <a:off x="7305675" y="2406065"/>
            <a:ext cx="2128" cy="537160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Arrow Connector 43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Straight Arrow Connector 44"/>
          <xdr:cNvCxnSpPr/>
        </xdr:nvCxnSpPr>
        <xdr:spPr>
          <a:xfrm flipV="1">
            <a:off x="7962900" y="2342636"/>
            <a:ext cx="7725" cy="606518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6" name="TextBox 45"/>
          <xdr:cNvSpPr txBox="1"/>
        </xdr:nvSpPr>
        <xdr:spPr>
          <a:xfrm>
            <a:off x="8014551" y="2361665"/>
            <a:ext cx="264624" cy="196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47" name="TextBox 46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48" name="TextBox 47"/>
          <xdr:cNvSpPr txBox="1"/>
        </xdr:nvSpPr>
        <xdr:spPr>
          <a:xfrm>
            <a:off x="7379191" y="2345987"/>
            <a:ext cx="504625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49" name="TextBox 48"/>
          <xdr:cNvSpPr txBox="1"/>
        </xdr:nvSpPr>
        <xdr:spPr>
          <a:xfrm>
            <a:off x="7262239" y="3031500"/>
            <a:ext cx="429541" cy="2181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50" name="Straight Arrow Connector 49"/>
          <xdr:cNvCxnSpPr/>
        </xdr:nvCxnSpPr>
        <xdr:spPr>
          <a:xfrm flipH="1">
            <a:off x="7414182" y="2949155"/>
            <a:ext cx="548719" cy="490804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1" name="TextBox 50"/>
          <xdr:cNvSpPr txBox="1"/>
        </xdr:nvSpPr>
        <xdr:spPr>
          <a:xfrm>
            <a:off x="7105126" y="3333923"/>
            <a:ext cx="269433" cy="169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52" name="Arc 51"/>
          <xdr:cNvSpPr/>
        </xdr:nvSpPr>
        <xdr:spPr>
          <a:xfrm rot="20031023" flipH="1">
            <a:off x="7570021" y="2605419"/>
            <a:ext cx="1176455" cy="731423"/>
          </a:xfrm>
          <a:prstGeom prst="arc">
            <a:avLst>
              <a:gd name="adj1" fmla="val 15922669"/>
              <a:gd name="adj2" fmla="val 375158"/>
            </a:avLst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3" name="Arc 52"/>
          <xdr:cNvSpPr/>
        </xdr:nvSpPr>
        <xdr:spPr>
          <a:xfrm rot="4747154" flipH="1" flipV="1">
            <a:off x="7683414" y="2327164"/>
            <a:ext cx="740783" cy="105956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10</xdr:col>
      <xdr:colOff>304800</xdr:colOff>
      <xdr:row>38</xdr:row>
      <xdr:rowOff>78889</xdr:rowOff>
    </xdr:from>
    <xdr:to>
      <xdr:col>14</xdr:col>
      <xdr:colOff>561973</xdr:colOff>
      <xdr:row>45</xdr:row>
      <xdr:rowOff>102664</xdr:rowOff>
    </xdr:to>
    <xdr:grpSp>
      <xdr:nvGrpSpPr>
        <xdr:cNvPr id="54" name="Group 53"/>
        <xdr:cNvGrpSpPr/>
      </xdr:nvGrpSpPr>
      <xdr:grpSpPr>
        <a:xfrm>
          <a:off x="6438900" y="7317889"/>
          <a:ext cx="2695573" cy="1357275"/>
          <a:chOff x="7037764" y="2363456"/>
          <a:chExt cx="2315786" cy="903840"/>
        </a:xfrm>
      </xdr:grpSpPr>
      <xdr:sp macro="" textlink="">
        <xdr:nvSpPr>
          <xdr:cNvPr id="55" name="TextBox 54"/>
          <xdr:cNvSpPr txBox="1"/>
        </xdr:nvSpPr>
        <xdr:spPr>
          <a:xfrm>
            <a:off x="7037764" y="2527529"/>
            <a:ext cx="270908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>
                <a:solidFill>
                  <a:srgbClr val="FF0000"/>
                </a:solidFill>
              </a:rPr>
              <a:t>B</a:t>
            </a:r>
          </a:p>
        </xdr:txBody>
      </xdr:sp>
      <xdr:sp macro="" textlink="">
        <xdr:nvSpPr>
          <xdr:cNvPr id="56" name="Rectangle 55"/>
          <xdr:cNvSpPr/>
        </xdr:nvSpPr>
        <xdr:spPr>
          <a:xfrm>
            <a:off x="7667625" y="2878012"/>
            <a:ext cx="1685925" cy="13212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7" name="Straight Arrow Connector 56"/>
          <xdr:cNvCxnSpPr/>
        </xdr:nvCxnSpPr>
        <xdr:spPr>
          <a:xfrm flipV="1">
            <a:off x="7305675" y="2406065"/>
            <a:ext cx="2128" cy="537160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Arrow Connector 57"/>
          <xdr:cNvCxnSpPr/>
        </xdr:nvCxnSpPr>
        <xdr:spPr>
          <a:xfrm flipH="1">
            <a:off x="7400925" y="293899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Straight Arrow Connector 58"/>
          <xdr:cNvCxnSpPr/>
        </xdr:nvCxnSpPr>
        <xdr:spPr>
          <a:xfrm flipV="1">
            <a:off x="7962900" y="2412408"/>
            <a:ext cx="7725" cy="536746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0" name="TextBox 59"/>
          <xdr:cNvSpPr txBox="1"/>
        </xdr:nvSpPr>
        <xdr:spPr>
          <a:xfrm>
            <a:off x="8300956" y="2393381"/>
            <a:ext cx="264624" cy="1966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61" name="TextBox 60"/>
          <xdr:cNvSpPr txBox="1"/>
        </xdr:nvSpPr>
        <xdr:spPr>
          <a:xfrm>
            <a:off x="7313858" y="2737533"/>
            <a:ext cx="264624" cy="2989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62" name="TextBox 61"/>
          <xdr:cNvSpPr txBox="1"/>
        </xdr:nvSpPr>
        <xdr:spPr>
          <a:xfrm>
            <a:off x="7990526" y="2473325"/>
            <a:ext cx="429541" cy="1737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63" name="Straight Arrow Connector 62"/>
          <xdr:cNvCxnSpPr/>
        </xdr:nvCxnSpPr>
        <xdr:spPr>
          <a:xfrm flipV="1">
            <a:off x="7962901" y="2583666"/>
            <a:ext cx="515070" cy="36548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4" name="TextBox 63"/>
          <xdr:cNvSpPr txBox="1"/>
        </xdr:nvSpPr>
        <xdr:spPr>
          <a:xfrm>
            <a:off x="7686118" y="2363456"/>
            <a:ext cx="269433" cy="1694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65" name="Arc 64"/>
          <xdr:cNvSpPr/>
        </xdr:nvSpPr>
        <xdr:spPr>
          <a:xfrm rot="323515">
            <a:off x="7716959" y="2618614"/>
            <a:ext cx="503717" cy="288496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6" name="Arc 65"/>
          <xdr:cNvSpPr/>
        </xdr:nvSpPr>
        <xdr:spPr>
          <a:xfrm rot="21127415" flipH="1">
            <a:off x="7511545" y="2519156"/>
            <a:ext cx="1022008" cy="74814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7" name="TextBox 66"/>
          <xdr:cNvSpPr txBox="1"/>
        </xdr:nvSpPr>
        <xdr:spPr>
          <a:xfrm>
            <a:off x="7321222" y="2522305"/>
            <a:ext cx="429541" cy="1691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200" b="1"/>
              <a:t>Yaw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23</xdr:row>
      <xdr:rowOff>152400</xdr:rowOff>
    </xdr:from>
    <xdr:ext cx="270908" cy="280205"/>
    <xdr:sp macro="" textlink="">
      <xdr:nvSpPr>
        <xdr:cNvPr id="2" name="TextBox 1"/>
        <xdr:cNvSpPr txBox="1"/>
      </xdr:nvSpPr>
      <xdr:spPr>
        <a:xfrm>
          <a:off x="3971925" y="46863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6</xdr:col>
      <xdr:colOff>600075</xdr:colOff>
      <xdr:row>22</xdr:row>
      <xdr:rowOff>76200</xdr:rowOff>
    </xdr:from>
    <xdr:to>
      <xdr:col>10</xdr:col>
      <xdr:colOff>219075</xdr:colOff>
      <xdr:row>28</xdr:row>
      <xdr:rowOff>70655</xdr:rowOff>
    </xdr:to>
    <xdr:grpSp>
      <xdr:nvGrpSpPr>
        <xdr:cNvPr id="3" name="Group 2"/>
        <xdr:cNvGrpSpPr/>
      </xdr:nvGrpSpPr>
      <xdr:grpSpPr>
        <a:xfrm>
          <a:off x="4295775" y="4419600"/>
          <a:ext cx="2057400" cy="1213655"/>
          <a:chOff x="3295650" y="838200"/>
          <a:chExt cx="2057400" cy="1137455"/>
        </a:xfrm>
      </xdr:grpSpPr>
      <xdr:sp macro="" textlink="">
        <xdr:nvSpPr>
          <xdr:cNvPr id="4" name="Rectangle 3"/>
          <xdr:cNvSpPr/>
        </xdr:nvSpPr>
        <xdr:spPr>
          <a:xfrm>
            <a:off x="3667125" y="1428750"/>
            <a:ext cx="1685925" cy="12382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5" name="Straight Arrow Connector 4"/>
          <xdr:cNvCxnSpPr/>
        </xdr:nvCxnSpPr>
        <xdr:spPr>
          <a:xfrm flipV="1">
            <a:off x="3295650" y="981075"/>
            <a:ext cx="9525" cy="771525"/>
          </a:xfrm>
          <a:prstGeom prst="straightConnector1">
            <a:avLst/>
          </a:prstGeom>
          <a:ln w="28575">
            <a:solidFill>
              <a:schemeClr val="accent2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/>
          <xdr:cNvCxnSpPr/>
        </xdr:nvCxnSpPr>
        <xdr:spPr>
          <a:xfrm flipH="1">
            <a:off x="3400425" y="1485900"/>
            <a:ext cx="561975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/>
          <xdr:cNvCxnSpPr/>
        </xdr:nvCxnSpPr>
        <xdr:spPr>
          <a:xfrm flipH="1" flipV="1">
            <a:off x="3952875" y="895350"/>
            <a:ext cx="9526" cy="600075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/>
          <xdr:cNvSpPr txBox="1"/>
        </xdr:nvSpPr>
        <xdr:spPr>
          <a:xfrm>
            <a:off x="4038600" y="83820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Y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3305175" y="1200150"/>
            <a:ext cx="26462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Z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3362325" y="933450"/>
            <a:ext cx="504625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Pitch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3810000" y="1676400"/>
            <a:ext cx="42954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Roll</a:t>
            </a:r>
          </a:p>
        </xdr:txBody>
      </xdr:sp>
      <xdr:cxnSp macro="">
        <xdr:nvCxnSpPr>
          <xdr:cNvPr id="12" name="Straight Arrow Connector 11"/>
          <xdr:cNvCxnSpPr/>
        </xdr:nvCxnSpPr>
        <xdr:spPr>
          <a:xfrm flipH="1">
            <a:off x="3590925" y="1495426"/>
            <a:ext cx="371476" cy="342899"/>
          </a:xfrm>
          <a:prstGeom prst="straightConnector1">
            <a:avLst/>
          </a:prstGeom>
          <a:ln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/>
          <xdr:cNvSpPr txBox="1"/>
        </xdr:nvSpPr>
        <xdr:spPr>
          <a:xfrm>
            <a:off x="3324225" y="1695450"/>
            <a:ext cx="269433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200" b="1"/>
              <a:t>X</a:t>
            </a:r>
          </a:p>
        </xdr:txBody>
      </xdr:sp>
      <xdr:sp macro="" textlink="">
        <xdr:nvSpPr>
          <xdr:cNvPr id="14" name="Arc 13"/>
          <xdr:cNvSpPr/>
        </xdr:nvSpPr>
        <xdr:spPr>
          <a:xfrm rot="11517524" flipV="1">
            <a:off x="3551304" y="1192535"/>
            <a:ext cx="605160" cy="648797"/>
          </a:xfrm>
          <a:prstGeom prst="arc">
            <a:avLst/>
          </a:prstGeom>
          <a:ln>
            <a:headEnd type="arrow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Arc 14"/>
          <xdr:cNvSpPr/>
        </xdr:nvSpPr>
        <xdr:spPr>
          <a:xfrm rot="15158097">
            <a:off x="3781425" y="1333501"/>
            <a:ext cx="523875" cy="552450"/>
          </a:xfrm>
          <a:prstGeom prst="arc">
            <a:avLst/>
          </a:prstGeom>
          <a:ln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6</xdr:col>
      <xdr:colOff>209550</xdr:colOff>
      <xdr:row>12</xdr:row>
      <xdr:rowOff>142875</xdr:rowOff>
    </xdr:from>
    <xdr:ext cx="270908" cy="280205"/>
    <xdr:sp macro="" textlink="">
      <xdr:nvSpPr>
        <xdr:cNvPr id="16" name="TextBox 15"/>
        <xdr:cNvSpPr txBox="1"/>
      </xdr:nvSpPr>
      <xdr:spPr>
        <a:xfrm>
          <a:off x="3905250" y="24765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555225</xdr:colOff>
      <xdr:row>7</xdr:row>
      <xdr:rowOff>16278</xdr:rowOff>
    </xdr:from>
    <xdr:to>
      <xdr:col>8</xdr:col>
      <xdr:colOff>69450</xdr:colOff>
      <xdr:row>15</xdr:row>
      <xdr:rowOff>178203</xdr:rowOff>
    </xdr:to>
    <xdr:sp macro="" textlink="">
      <xdr:nvSpPr>
        <xdr:cNvPr id="17" name="Rectangle 16"/>
        <xdr:cNvSpPr/>
      </xdr:nvSpPr>
      <xdr:spPr>
        <a:xfrm rot="16200000">
          <a:off x="4065188" y="2192740"/>
          <a:ext cx="1714500" cy="1238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545701</xdr:colOff>
      <xdr:row>12</xdr:row>
      <xdr:rowOff>66675</xdr:rowOff>
    </xdr:from>
    <xdr:to>
      <xdr:col>6</xdr:col>
      <xdr:colOff>552450</xdr:colOff>
      <xdr:row>16</xdr:row>
      <xdr:rowOff>82954</xdr:rowOff>
    </xdr:to>
    <xdr:cxnSp macro="">
      <xdr:nvCxnSpPr>
        <xdr:cNvPr id="18" name="Straight Arrow Connector 17"/>
        <xdr:cNvCxnSpPr/>
      </xdr:nvCxnSpPr>
      <xdr:spPr>
        <a:xfrm flipV="1">
          <a:off x="4241401" y="2400300"/>
          <a:ext cx="6749" cy="806854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2775</xdr:colOff>
      <xdr:row>14</xdr:row>
      <xdr:rowOff>73428</xdr:rowOff>
    </xdr:from>
    <xdr:to>
      <xdr:col>8</xdr:col>
      <xdr:colOff>2775</xdr:colOff>
      <xdr:row>17</xdr:row>
      <xdr:rowOff>63903</xdr:rowOff>
    </xdr:to>
    <xdr:cxnSp macro="">
      <xdr:nvCxnSpPr>
        <xdr:cNvPr id="19" name="Straight Arrow Connector 18"/>
        <xdr:cNvCxnSpPr/>
      </xdr:nvCxnSpPr>
      <xdr:spPr>
        <a:xfrm rot="16200000" flipH="1">
          <a:off x="4603350" y="3102378"/>
          <a:ext cx="628650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21824</xdr:colOff>
      <xdr:row>14</xdr:row>
      <xdr:rowOff>73428</xdr:rowOff>
    </xdr:from>
    <xdr:to>
      <xdr:col>8</xdr:col>
      <xdr:colOff>12299</xdr:colOff>
      <xdr:row>14</xdr:row>
      <xdr:rowOff>82954</xdr:rowOff>
    </xdr:to>
    <xdr:cxnSp macro="">
      <xdr:nvCxnSpPr>
        <xdr:cNvPr id="20" name="Straight Arrow Connector 19"/>
        <xdr:cNvCxnSpPr/>
      </xdr:nvCxnSpPr>
      <xdr:spPr>
        <a:xfrm rot="16200000" flipH="1" flipV="1">
          <a:off x="4622399" y="2492778"/>
          <a:ext cx="9526" cy="600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48665</xdr:colOff>
      <xdr:row>12</xdr:row>
      <xdr:rowOff>162964</xdr:rowOff>
    </xdr:from>
    <xdr:to>
      <xdr:col>7</xdr:col>
      <xdr:colOff>313289</xdr:colOff>
      <xdr:row>14</xdr:row>
      <xdr:rowOff>62169</xdr:rowOff>
    </xdr:to>
    <xdr:sp macro="" textlink="">
      <xdr:nvSpPr>
        <xdr:cNvPr id="21" name="TextBox 20"/>
        <xdr:cNvSpPr txBox="1"/>
      </xdr:nvSpPr>
      <xdr:spPr>
        <a:xfrm>
          <a:off x="4353965" y="2496589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334415</xdr:colOff>
      <xdr:row>16</xdr:row>
      <xdr:rowOff>77239</xdr:rowOff>
    </xdr:from>
    <xdr:to>
      <xdr:col>7</xdr:col>
      <xdr:colOff>599039</xdr:colOff>
      <xdr:row>17</xdr:row>
      <xdr:rowOff>166944</xdr:rowOff>
    </xdr:to>
    <xdr:sp macro="" textlink="">
      <xdr:nvSpPr>
        <xdr:cNvPr id="22" name="TextBox 21"/>
        <xdr:cNvSpPr txBox="1"/>
      </xdr:nvSpPr>
      <xdr:spPr>
        <a:xfrm>
          <a:off x="4639715" y="3201439"/>
          <a:ext cx="264624" cy="318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6</xdr:col>
      <xdr:colOff>528740</xdr:colOff>
      <xdr:row>15</xdr:row>
      <xdr:rowOff>52489</xdr:rowOff>
    </xdr:from>
    <xdr:to>
      <xdr:col>7</xdr:col>
      <xdr:colOff>423765</xdr:colOff>
      <xdr:row>16</xdr:row>
      <xdr:rowOff>142194</xdr:rowOff>
    </xdr:to>
    <xdr:sp macro="" textlink="">
      <xdr:nvSpPr>
        <xdr:cNvPr id="23" name="TextBox 22"/>
        <xdr:cNvSpPr txBox="1"/>
      </xdr:nvSpPr>
      <xdr:spPr>
        <a:xfrm>
          <a:off x="4224440" y="2986189"/>
          <a:ext cx="5046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Pitch</a:t>
          </a:r>
        </a:p>
      </xdr:txBody>
    </xdr:sp>
    <xdr:clientData/>
  </xdr:twoCellAnchor>
  <xdr:twoCellAnchor>
    <xdr:from>
      <xdr:col>8</xdr:col>
      <xdr:colOff>109082</xdr:colOff>
      <xdr:row>16</xdr:row>
      <xdr:rowOff>118605</xdr:rowOff>
    </xdr:from>
    <xdr:to>
      <xdr:col>8</xdr:col>
      <xdr:colOff>538623</xdr:colOff>
      <xdr:row>18</xdr:row>
      <xdr:rowOff>17810</xdr:rowOff>
    </xdr:to>
    <xdr:sp macro="" textlink="">
      <xdr:nvSpPr>
        <xdr:cNvPr id="24" name="TextBox 23"/>
        <xdr:cNvSpPr txBox="1"/>
      </xdr:nvSpPr>
      <xdr:spPr>
        <a:xfrm>
          <a:off x="5023982" y="3242805"/>
          <a:ext cx="429541" cy="356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  <xdr:twoCellAnchor>
    <xdr:from>
      <xdr:col>8</xdr:col>
      <xdr:colOff>12300</xdr:colOff>
      <xdr:row>14</xdr:row>
      <xdr:rowOff>73428</xdr:rowOff>
    </xdr:from>
    <xdr:to>
      <xdr:col>8</xdr:col>
      <xdr:colOff>355199</xdr:colOff>
      <xdr:row>16</xdr:row>
      <xdr:rowOff>63904</xdr:rowOff>
    </xdr:to>
    <xdr:cxnSp macro="">
      <xdr:nvCxnSpPr>
        <xdr:cNvPr id="25" name="Straight Arrow Connector 24"/>
        <xdr:cNvCxnSpPr/>
      </xdr:nvCxnSpPr>
      <xdr:spPr>
        <a:xfrm rot="16200000" flipH="1">
          <a:off x="4898624" y="2816629"/>
          <a:ext cx="400051" cy="34289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293911</xdr:colOff>
      <xdr:row>14</xdr:row>
      <xdr:rowOff>93884</xdr:rowOff>
    </xdr:from>
    <xdr:to>
      <xdr:col>8</xdr:col>
      <xdr:colOff>563344</xdr:colOff>
      <xdr:row>15</xdr:row>
      <xdr:rowOff>183589</xdr:rowOff>
    </xdr:to>
    <xdr:sp macro="" textlink="">
      <xdr:nvSpPr>
        <xdr:cNvPr id="26" name="TextBox 25"/>
        <xdr:cNvSpPr txBox="1"/>
      </xdr:nvSpPr>
      <xdr:spPr>
        <a:xfrm>
          <a:off x="5208811" y="2808509"/>
          <a:ext cx="269433" cy="3087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7</xdr:col>
      <xdr:colOff>293288</xdr:colOff>
      <xdr:row>13</xdr:row>
      <xdr:rowOff>87716</xdr:rowOff>
    </xdr:from>
    <xdr:to>
      <xdr:col>8</xdr:col>
      <xdr:colOff>264713</xdr:colOff>
      <xdr:row>16</xdr:row>
      <xdr:rowOff>11516</xdr:rowOff>
    </xdr:to>
    <xdr:sp macro="" textlink="">
      <xdr:nvSpPr>
        <xdr:cNvPr id="27" name="Arc 26"/>
        <xdr:cNvSpPr/>
      </xdr:nvSpPr>
      <xdr:spPr>
        <a:xfrm rot="6255272" flipV="1">
          <a:off x="4627163" y="2583266"/>
          <a:ext cx="523875" cy="581025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467542</xdr:colOff>
      <xdr:row>14</xdr:row>
      <xdr:rowOff>4448</xdr:rowOff>
    </xdr:from>
    <xdr:to>
      <xdr:col>8</xdr:col>
      <xdr:colOff>171364</xdr:colOff>
      <xdr:row>16</xdr:row>
      <xdr:rowOff>73884</xdr:rowOff>
    </xdr:to>
    <xdr:sp macro="" textlink="">
      <xdr:nvSpPr>
        <xdr:cNvPr id="28" name="Arc 27"/>
        <xdr:cNvSpPr/>
      </xdr:nvSpPr>
      <xdr:spPr>
        <a:xfrm rot="5701690">
          <a:off x="4690047" y="2801868"/>
          <a:ext cx="479011" cy="313422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304800</xdr:colOff>
      <xdr:row>32</xdr:row>
      <xdr:rowOff>152400</xdr:rowOff>
    </xdr:from>
    <xdr:ext cx="270908" cy="280205"/>
    <xdr:sp macro="" textlink="">
      <xdr:nvSpPr>
        <xdr:cNvPr id="29" name="TextBox 28"/>
        <xdr:cNvSpPr txBox="1"/>
      </xdr:nvSpPr>
      <xdr:spPr>
        <a:xfrm>
          <a:off x="4000500" y="6477000"/>
          <a:ext cx="27090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>
    <xdr:from>
      <xdr:col>7</xdr:col>
      <xdr:colOff>514350</xdr:colOff>
      <xdr:row>34</xdr:row>
      <xdr:rowOff>95250</xdr:rowOff>
    </xdr:from>
    <xdr:to>
      <xdr:col>10</xdr:col>
      <xdr:colOff>371475</xdr:colOff>
      <xdr:row>35</xdr:row>
      <xdr:rowOff>28575</xdr:rowOff>
    </xdr:to>
    <xdr:sp macro="" textlink="">
      <xdr:nvSpPr>
        <xdr:cNvPr id="30" name="Rectangle 29"/>
        <xdr:cNvSpPr/>
      </xdr:nvSpPr>
      <xdr:spPr>
        <a:xfrm>
          <a:off x="4819650" y="6800850"/>
          <a:ext cx="1685925" cy="1619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</xdr:colOff>
      <xdr:row>32</xdr:row>
      <xdr:rowOff>28575</xdr:rowOff>
    </xdr:from>
    <xdr:to>
      <xdr:col>7</xdr:col>
      <xdr:colOff>28575</xdr:colOff>
      <xdr:row>36</xdr:row>
      <xdr:rowOff>38100</xdr:rowOff>
    </xdr:to>
    <xdr:cxnSp macro="">
      <xdr:nvCxnSpPr>
        <xdr:cNvPr id="31" name="Straight Arrow Connector 30"/>
        <xdr:cNvCxnSpPr/>
      </xdr:nvCxnSpPr>
      <xdr:spPr>
        <a:xfrm flipV="1">
          <a:off x="4324350" y="6353175"/>
          <a:ext cx="9525" cy="847725"/>
        </a:xfrm>
        <a:prstGeom prst="straightConnector1">
          <a:avLst/>
        </a:prstGeom>
        <a:ln w="28575">
          <a:solidFill>
            <a:schemeClr val="accent2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34</xdr:row>
      <xdr:rowOff>152400</xdr:rowOff>
    </xdr:from>
    <xdr:to>
      <xdr:col>8</xdr:col>
      <xdr:colOff>200025</xdr:colOff>
      <xdr:row>34</xdr:row>
      <xdr:rowOff>152400</xdr:rowOff>
    </xdr:to>
    <xdr:cxnSp macro="">
      <xdr:nvCxnSpPr>
        <xdr:cNvPr id="32" name="Straight Arrow Connector 31"/>
        <xdr:cNvCxnSpPr/>
      </xdr:nvCxnSpPr>
      <xdr:spPr>
        <a:xfrm flipH="1">
          <a:off x="4552950" y="6858000"/>
          <a:ext cx="561975" cy="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200025</xdr:colOff>
      <xdr:row>29</xdr:row>
      <xdr:rowOff>171450</xdr:rowOff>
    </xdr:from>
    <xdr:to>
      <xdr:col>8</xdr:col>
      <xdr:colOff>200027</xdr:colOff>
      <xdr:row>34</xdr:row>
      <xdr:rowOff>161926</xdr:rowOff>
    </xdr:to>
    <xdr:cxnSp macro="">
      <xdr:nvCxnSpPr>
        <xdr:cNvPr id="33" name="Straight Arrow Connector 32"/>
        <xdr:cNvCxnSpPr/>
      </xdr:nvCxnSpPr>
      <xdr:spPr>
        <a:xfrm flipH="1" flipV="1">
          <a:off x="5114925" y="5924550"/>
          <a:ext cx="2" cy="94297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76200</xdr:colOff>
      <xdr:row>36</xdr:row>
      <xdr:rowOff>161925</xdr:rowOff>
    </xdr:from>
    <xdr:to>
      <xdr:col>7</xdr:col>
      <xdr:colOff>340824</xdr:colOff>
      <xdr:row>38</xdr:row>
      <xdr:rowOff>61130</xdr:rowOff>
    </xdr:to>
    <xdr:sp macro="" textlink="">
      <xdr:nvSpPr>
        <xdr:cNvPr id="34" name="TextBox 33"/>
        <xdr:cNvSpPr txBox="1"/>
      </xdr:nvSpPr>
      <xdr:spPr>
        <a:xfrm>
          <a:off x="4381500" y="7324725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</a:t>
          </a:r>
        </a:p>
      </xdr:txBody>
    </xdr:sp>
    <xdr:clientData/>
  </xdr:twoCellAnchor>
  <xdr:twoCellAnchor>
    <xdr:from>
      <xdr:col>7</xdr:col>
      <xdr:colOff>152400</xdr:colOff>
      <xdr:row>33</xdr:row>
      <xdr:rowOff>57150</xdr:rowOff>
    </xdr:from>
    <xdr:to>
      <xdr:col>7</xdr:col>
      <xdr:colOff>417024</xdr:colOff>
      <xdr:row>34</xdr:row>
      <xdr:rowOff>146855</xdr:rowOff>
    </xdr:to>
    <xdr:sp macro="" textlink="">
      <xdr:nvSpPr>
        <xdr:cNvPr id="35" name="TextBox 34"/>
        <xdr:cNvSpPr txBox="1"/>
      </xdr:nvSpPr>
      <xdr:spPr>
        <a:xfrm>
          <a:off x="4457700" y="6572250"/>
          <a:ext cx="26462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Z</a:t>
          </a:r>
        </a:p>
      </xdr:txBody>
    </xdr:sp>
    <xdr:clientData/>
  </xdr:twoCellAnchor>
  <xdr:twoCellAnchor>
    <xdr:from>
      <xdr:col>7</xdr:col>
      <xdr:colOff>200025</xdr:colOff>
      <xdr:row>37</xdr:row>
      <xdr:rowOff>171450</xdr:rowOff>
    </xdr:from>
    <xdr:to>
      <xdr:col>8</xdr:col>
      <xdr:colOff>19966</xdr:colOff>
      <xdr:row>39</xdr:row>
      <xdr:rowOff>70655</xdr:rowOff>
    </xdr:to>
    <xdr:sp macro="" textlink="">
      <xdr:nvSpPr>
        <xdr:cNvPr id="36" name="TextBox 35"/>
        <xdr:cNvSpPr txBox="1"/>
      </xdr:nvSpPr>
      <xdr:spPr>
        <a:xfrm>
          <a:off x="4505325" y="7524750"/>
          <a:ext cx="42954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Roll</a:t>
          </a:r>
        </a:p>
      </xdr:txBody>
    </xdr:sp>
    <xdr:clientData/>
  </xdr:twoCellAnchor>
  <xdr:twoCellAnchor>
    <xdr:from>
      <xdr:col>7</xdr:col>
      <xdr:colOff>314325</xdr:colOff>
      <xdr:row>34</xdr:row>
      <xdr:rowOff>161926</xdr:rowOff>
    </xdr:from>
    <xdr:to>
      <xdr:col>8</xdr:col>
      <xdr:colOff>200026</xdr:colOff>
      <xdr:row>37</xdr:row>
      <xdr:rowOff>38100</xdr:rowOff>
    </xdr:to>
    <xdr:cxnSp macro="">
      <xdr:nvCxnSpPr>
        <xdr:cNvPr id="37" name="Straight Arrow Connector 36"/>
        <xdr:cNvCxnSpPr/>
      </xdr:nvCxnSpPr>
      <xdr:spPr>
        <a:xfrm flipH="1">
          <a:off x="4619625" y="6867526"/>
          <a:ext cx="495301" cy="52387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29</xdr:row>
      <xdr:rowOff>114300</xdr:rowOff>
    </xdr:from>
    <xdr:to>
      <xdr:col>8</xdr:col>
      <xdr:colOff>517083</xdr:colOff>
      <xdr:row>31</xdr:row>
      <xdr:rowOff>13505</xdr:rowOff>
    </xdr:to>
    <xdr:sp macro="" textlink="">
      <xdr:nvSpPr>
        <xdr:cNvPr id="38" name="TextBox 37"/>
        <xdr:cNvSpPr txBox="1"/>
      </xdr:nvSpPr>
      <xdr:spPr>
        <a:xfrm>
          <a:off x="5162550" y="5867400"/>
          <a:ext cx="26943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X</a:t>
          </a:r>
        </a:p>
      </xdr:txBody>
    </xdr:sp>
    <xdr:clientData/>
  </xdr:twoCellAnchor>
  <xdr:twoCellAnchor>
    <xdr:from>
      <xdr:col>8</xdr:col>
      <xdr:colOff>495</xdr:colOff>
      <xdr:row>31</xdr:row>
      <xdr:rowOff>159564</xdr:rowOff>
    </xdr:from>
    <xdr:to>
      <xdr:col>9</xdr:col>
      <xdr:colOff>225555</xdr:colOff>
      <xdr:row>36</xdr:row>
      <xdr:rowOff>169419</xdr:rowOff>
    </xdr:to>
    <xdr:sp macro="" textlink="">
      <xdr:nvSpPr>
        <xdr:cNvPr id="39" name="Arc 38"/>
        <xdr:cNvSpPr/>
      </xdr:nvSpPr>
      <xdr:spPr>
        <a:xfrm rot="3399003" flipH="1" flipV="1">
          <a:off x="4813447" y="6395612"/>
          <a:ext cx="1038555" cy="834660"/>
        </a:xfrm>
        <a:prstGeom prst="arc">
          <a:avLst/>
        </a:prstGeom>
        <a:ln>
          <a:headEnd type="arrow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388824</xdr:colOff>
      <xdr:row>31</xdr:row>
      <xdr:rowOff>178423</xdr:rowOff>
    </xdr:from>
    <xdr:to>
      <xdr:col>9</xdr:col>
      <xdr:colOff>41927</xdr:colOff>
      <xdr:row>36</xdr:row>
      <xdr:rowOff>135470</xdr:rowOff>
    </xdr:to>
    <xdr:sp macro="" textlink="">
      <xdr:nvSpPr>
        <xdr:cNvPr id="40" name="Arc 39"/>
        <xdr:cNvSpPr/>
      </xdr:nvSpPr>
      <xdr:spPr>
        <a:xfrm rot="10487268" flipV="1">
          <a:off x="4694124" y="6312523"/>
          <a:ext cx="872303" cy="985747"/>
        </a:xfrm>
        <a:prstGeom prst="arc">
          <a:avLst/>
        </a:prstGeom>
        <a:ln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9525</xdr:colOff>
      <xdr:row>35</xdr:row>
      <xdr:rowOff>9525</xdr:rowOff>
    </xdr:from>
    <xdr:to>
      <xdr:col>7</xdr:col>
      <xdr:colOff>439066</xdr:colOff>
      <xdr:row>36</xdr:row>
      <xdr:rowOff>99230</xdr:rowOff>
    </xdr:to>
    <xdr:sp macro="" textlink="">
      <xdr:nvSpPr>
        <xdr:cNvPr id="41" name="TextBox 40"/>
        <xdr:cNvSpPr txBox="1"/>
      </xdr:nvSpPr>
      <xdr:spPr>
        <a:xfrm>
          <a:off x="4314825" y="6943725"/>
          <a:ext cx="429541" cy="318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/>
            <a:t>Yaw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24</xdr:row>
      <xdr:rowOff>142875</xdr:rowOff>
    </xdr:from>
    <xdr:to>
      <xdr:col>7</xdr:col>
      <xdr:colOff>219075</xdr:colOff>
      <xdr:row>39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4"/>
  <sheetViews>
    <sheetView workbookViewId="0">
      <selection activeCell="O27" sqref="O27"/>
    </sheetView>
  </sheetViews>
  <sheetFormatPr defaultRowHeight="15" x14ac:dyDescent="0.25"/>
  <cols>
    <col min="1" max="1" width="9.7109375" bestFit="1" customWidth="1"/>
    <col min="2" max="3" width="12" bestFit="1" customWidth="1"/>
  </cols>
  <sheetData>
    <row r="2" spans="1:16" x14ac:dyDescent="0.25">
      <c r="A2" s="7">
        <v>42082</v>
      </c>
    </row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  <c r="E4" t="s">
        <v>46</v>
      </c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  <c r="D7" t="s">
        <v>41</v>
      </c>
    </row>
    <row r="8" spans="1:16" x14ac:dyDescent="0.25">
      <c r="A8" s="1" t="s">
        <v>5</v>
      </c>
      <c r="B8">
        <v>-1.63</v>
      </c>
      <c r="C8">
        <v>-2.38</v>
      </c>
    </row>
    <row r="9" spans="1:16" x14ac:dyDescent="0.25">
      <c r="A9" s="1" t="s">
        <v>6</v>
      </c>
      <c r="B9">
        <v>-0.24</v>
      </c>
      <c r="C9">
        <v>1.26</v>
      </c>
    </row>
    <row r="10" spans="1:16" x14ac:dyDescent="0.25">
      <c r="A10" s="1" t="s">
        <v>7</v>
      </c>
      <c r="B10">
        <v>-0.21</v>
      </c>
      <c r="C10">
        <v>-0.68</v>
      </c>
    </row>
    <row r="13" spans="1:16" x14ac:dyDescent="0.25">
      <c r="A13" s="1" t="s">
        <v>59</v>
      </c>
    </row>
    <row r="14" spans="1:16" x14ac:dyDescent="0.25">
      <c r="E14" s="1" t="s">
        <v>11</v>
      </c>
      <c r="N14" t="s">
        <v>45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19</v>
      </c>
      <c r="B17" s="3">
        <v>-25.14</v>
      </c>
      <c r="C17" s="3">
        <v>46.95</v>
      </c>
      <c r="E17">
        <f>B17-B8</f>
        <v>-23.51</v>
      </c>
      <c r="F17">
        <f>C17-C8</f>
        <v>49.330000000000005</v>
      </c>
      <c r="M17" s="1" t="s">
        <v>13</v>
      </c>
      <c r="N17">
        <f>ASIN(-E18/E19/1000)*180/PI()</f>
        <v>0.28447225392580971</v>
      </c>
      <c r="O17">
        <f>ASIN(-F18/F19/1000)*180/PI()</f>
        <v>0.39871387940657704</v>
      </c>
      <c r="P17">
        <f>N17-O17</f>
        <v>-0.11424162548076733</v>
      </c>
    </row>
    <row r="18" spans="1:16" ht="18" x14ac:dyDescent="0.35">
      <c r="A18" s="1" t="s">
        <v>20</v>
      </c>
      <c r="B18" s="3">
        <v>18.88</v>
      </c>
      <c r="C18" s="3">
        <v>28.03</v>
      </c>
      <c r="E18">
        <f>B18-B9</f>
        <v>19.119999999999997</v>
      </c>
      <c r="F18">
        <f>C18-C9</f>
        <v>26.77</v>
      </c>
      <c r="M18" s="1" t="s">
        <v>14</v>
      </c>
      <c r="N18">
        <f>-ASIN(-E17/E19/1000)*180/PI()</f>
        <v>0.34978853328013615</v>
      </c>
      <c r="O18">
        <f>-ASIN(-F17/F19/1000)*180/PI()</f>
        <v>-0.73473799020458441</v>
      </c>
      <c r="P18">
        <f>N18-O18</f>
        <v>1.0845265234847206</v>
      </c>
    </row>
    <row r="19" spans="1:16" x14ac:dyDescent="0.25">
      <c r="A19" s="1" t="s">
        <v>21</v>
      </c>
      <c r="B19" s="5">
        <v>-3.8512</v>
      </c>
      <c r="C19" s="5">
        <v>-3.8475999999999999</v>
      </c>
      <c r="E19">
        <f>B19-B10/1000</f>
        <v>-3.8509899999999999</v>
      </c>
      <c r="F19">
        <f>C19-C10/1000</f>
        <v>-3.8469199999999999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22</v>
      </c>
      <c r="B26" s="3">
        <v>3.44</v>
      </c>
      <c r="C26" s="3">
        <v>27.53</v>
      </c>
      <c r="E26">
        <f>B26-B8</f>
        <v>5.07</v>
      </c>
      <c r="F26">
        <f>C26-C8</f>
        <v>29.91</v>
      </c>
      <c r="M26" s="1" t="s">
        <v>15</v>
      </c>
      <c r="N26">
        <f>ASIN(E28/E27/1000)*180/PI()</f>
        <v>1.5404744947579272E-2</v>
      </c>
      <c r="O26">
        <f>ASIN(F28/F27/1000)*180/PI()</f>
        <v>0.12850680810058374</v>
      </c>
      <c r="P26">
        <f>N26-O26</f>
        <v>-0.11310206315300446</v>
      </c>
    </row>
    <row r="27" spans="1:16" ht="18" x14ac:dyDescent="0.35">
      <c r="A27" s="1" t="s">
        <v>23</v>
      </c>
      <c r="B27" s="3">
        <v>3.8307000000000002</v>
      </c>
      <c r="C27" s="3">
        <v>3.8401000000000001</v>
      </c>
      <c r="E27">
        <f>B27-B9/1000</f>
        <v>3.83094</v>
      </c>
      <c r="F27">
        <f>C27-C9/1000</f>
        <v>3.8388400000000003</v>
      </c>
      <c r="M27" s="1" t="s">
        <v>16</v>
      </c>
      <c r="N27">
        <f>ASIN(E26/E27/1000)*180/PI()</f>
        <v>7.5827260914864039E-2</v>
      </c>
      <c r="O27">
        <f>ASIN(F26/F27/1000)*180/PI()</f>
        <v>0.44641977904062063</v>
      </c>
      <c r="P27">
        <f>N27-O27</f>
        <v>-0.37059251812575661</v>
      </c>
    </row>
    <row r="28" spans="1:16" x14ac:dyDescent="0.25">
      <c r="A28" s="1" t="s">
        <v>24</v>
      </c>
      <c r="B28" s="3">
        <v>0.82</v>
      </c>
      <c r="C28" s="3">
        <v>7.93</v>
      </c>
      <c r="E28">
        <f t="shared" ref="E28:F28" si="0">B28-B10</f>
        <v>1.03</v>
      </c>
      <c r="F28">
        <f t="shared" si="0"/>
        <v>8.61</v>
      </c>
    </row>
    <row r="31" spans="1:16" x14ac:dyDescent="0.25">
      <c r="A31" s="1" t="s">
        <v>58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25</v>
      </c>
      <c r="B35" s="3">
        <v>3.8611</v>
      </c>
      <c r="C35" s="3">
        <v>3.8506</v>
      </c>
      <c r="E35">
        <f>B35-B8/1000</f>
        <v>3.86273</v>
      </c>
      <c r="F35">
        <f>C35-C8/1000</f>
        <v>3.8529800000000001</v>
      </c>
      <c r="M35" s="1" t="s">
        <v>17</v>
      </c>
      <c r="N35">
        <f>-ASIN(E37/E35/1000)*180/PI()</f>
        <v>-2.3732760831625889E-3</v>
      </c>
      <c r="O35">
        <f>-ASIN(F37/F35/1000)*180/PI()</f>
        <v>0.38678491560543271</v>
      </c>
      <c r="P35">
        <f>N35-O35</f>
        <v>-0.38915819168859528</v>
      </c>
    </row>
    <row r="36" spans="1:16" ht="18" x14ac:dyDescent="0.35">
      <c r="A36" s="1" t="s">
        <v>26</v>
      </c>
      <c r="B36" s="3">
        <v>-110.55</v>
      </c>
      <c r="C36" s="3">
        <v>-151.02000000000001</v>
      </c>
      <c r="E36">
        <f t="shared" ref="E36:F36" si="1">B36-B9</f>
        <v>-110.31</v>
      </c>
      <c r="F36">
        <f t="shared" si="1"/>
        <v>-152.28</v>
      </c>
      <c r="M36" s="1" t="s">
        <v>18</v>
      </c>
      <c r="N36">
        <f>ASIN(-E36/E35/1000)*180/PI()</f>
        <v>1.6364480098510417</v>
      </c>
      <c r="O36">
        <f>ASIN(-F36/F35/1000)*180/PI()</f>
        <v>2.2650712875828312</v>
      </c>
      <c r="P36">
        <f>N36-O36</f>
        <v>-0.6286232777317895</v>
      </c>
    </row>
    <row r="37" spans="1:16" x14ac:dyDescent="0.25">
      <c r="A37" s="1" t="s">
        <v>27</v>
      </c>
      <c r="B37" s="3">
        <v>-0.05</v>
      </c>
      <c r="C37" s="3">
        <v>-26.69</v>
      </c>
      <c r="E37">
        <f t="shared" ref="E37:F37" si="2">B37-B10</f>
        <v>0.15999999999999998</v>
      </c>
      <c r="F37">
        <f t="shared" si="2"/>
        <v>-26.01</v>
      </c>
    </row>
    <row r="39" spans="1:16" x14ac:dyDescent="0.25">
      <c r="A39" t="s">
        <v>38</v>
      </c>
      <c r="B39">
        <f>E35*E35*1000000+E26*E26+E17*E17</f>
        <v>14921261.4779</v>
      </c>
      <c r="C39">
        <f>F35*F35*1000000+F26*F26+F17*F17</f>
        <v>14848782.9374</v>
      </c>
    </row>
    <row r="40" spans="1:16" x14ac:dyDescent="0.25">
      <c r="A40" t="s">
        <v>39</v>
      </c>
      <c r="B40">
        <f>E36*E36+E27*E27*1000000+E18*E18</f>
        <v>14688635.154099999</v>
      </c>
      <c r="C40">
        <f>F36*F36+F27*F27*1000000+F18*F18</f>
        <v>14760598.376900002</v>
      </c>
    </row>
    <row r="41" spans="1:16" x14ac:dyDescent="0.25">
      <c r="A41" t="s">
        <v>40</v>
      </c>
      <c r="B41">
        <f>E37*E37+E28*E28+E19*E19*1000000</f>
        <v>14830125.0666</v>
      </c>
      <c r="C41">
        <f>F37*F37+F28*F28+F19*F19*1000000</f>
        <v>14799544.138599999</v>
      </c>
    </row>
    <row r="43" spans="1:16" x14ac:dyDescent="0.25">
      <c r="C43" s="1" t="s">
        <v>3</v>
      </c>
      <c r="D43" s="1" t="s">
        <v>28</v>
      </c>
      <c r="F43" s="1" t="s">
        <v>3</v>
      </c>
      <c r="G43" s="1" t="s">
        <v>28</v>
      </c>
      <c r="H43" s="1" t="s">
        <v>3</v>
      </c>
      <c r="I43" s="1" t="s">
        <v>28</v>
      </c>
    </row>
    <row r="44" spans="1:16" x14ac:dyDescent="0.25">
      <c r="B44" t="s">
        <v>36</v>
      </c>
      <c r="C44">
        <f t="shared" ref="C44:D46" si="3">SQRT((B39+SQRT(B39*B39-4*B26*B26*B17*B17))/2)</f>
        <v>3862.8048717737174</v>
      </c>
      <c r="D44">
        <f t="shared" si="3"/>
        <v>3853.4118421068847</v>
      </c>
    </row>
    <row r="45" spans="1:16" x14ac:dyDescent="0.25">
      <c r="B45" t="s">
        <v>35</v>
      </c>
      <c r="C45">
        <f>SQRT((B40+SQRT(B40*B40-4*B36*B36*B18*B18))/2)</f>
        <v>3832.5754862130561</v>
      </c>
      <c r="D45">
        <f>SQRT((C40+SQRT(C40*C40-4*C36*C36*C18*C18))/2)</f>
        <v>3841.9522593234979</v>
      </c>
    </row>
    <row r="46" spans="1:16" x14ac:dyDescent="0.25">
      <c r="B46" t="s">
        <v>37</v>
      </c>
      <c r="C46">
        <f t="shared" si="3"/>
        <v>3850.9901410675316</v>
      </c>
      <c r="D46">
        <f t="shared" si="3"/>
        <v>3847.0175641056144</v>
      </c>
      <c r="F46" s="10" t="s">
        <v>53</v>
      </c>
    </row>
    <row r="47" spans="1:16" x14ac:dyDescent="0.25">
      <c r="B47" s="1" t="s">
        <v>29</v>
      </c>
      <c r="C47">
        <f>ASIN(E26/C44)</f>
        <v>1.3125181374634175E-3</v>
      </c>
      <c r="D47">
        <f>ASIN(F26/D44)</f>
        <v>7.7620305250346725E-3</v>
      </c>
      <c r="F47">
        <f>C47/$B$54</f>
        <v>7.5201749825143591E-2</v>
      </c>
      <c r="G47">
        <f>D47/$B$54</f>
        <v>0.44473158961969378</v>
      </c>
      <c r="H47">
        <f>F47-$F$47</f>
        <v>0</v>
      </c>
      <c r="I47">
        <f>G47-$F$47</f>
        <v>0.36952983979455017</v>
      </c>
    </row>
    <row r="48" spans="1:16" x14ac:dyDescent="0.25">
      <c r="B48" s="1" t="s">
        <v>30</v>
      </c>
      <c r="C48">
        <f>ASIN(E17/C44)</f>
        <v>-6.0862885720384275E-3</v>
      </c>
      <c r="D48">
        <f>ASIN(F17/D44)</f>
        <v>1.2801991976012644E-2</v>
      </c>
      <c r="F48">
        <f>-C48/$B$54</f>
        <v>0.34871864814197379</v>
      </c>
      <c r="G48">
        <f>-D48/$B$54</f>
        <v>-0.73350010972357471</v>
      </c>
    </row>
    <row r="49" spans="2:9" x14ac:dyDescent="0.25">
      <c r="B49" s="1" t="s">
        <v>31</v>
      </c>
      <c r="C49">
        <f>ASIN(E36/C45)</f>
        <v>-2.8786187382476985E-2</v>
      </c>
      <c r="D49">
        <f>ASIN(F36/D45)</f>
        <v>-3.9646484503092147E-2</v>
      </c>
      <c r="F49">
        <f>-C49/$B$54</f>
        <v>1.6493270455983133</v>
      </c>
      <c r="G49">
        <f>-D49/$B$54</f>
        <v>2.2715762349844617</v>
      </c>
      <c r="H49">
        <f>F49-$F$47</f>
        <v>1.5741252957731697</v>
      </c>
      <c r="I49">
        <f>G49-$F$47</f>
        <v>2.1963744851593181</v>
      </c>
    </row>
    <row r="50" spans="2:9" x14ac:dyDescent="0.25">
      <c r="B50" s="1" t="s">
        <v>32</v>
      </c>
      <c r="C50">
        <f>ASIN(E18/C45)</f>
        <v>4.9888330654470122E-3</v>
      </c>
      <c r="D50">
        <f>ASIN(F18/D45)</f>
        <v>6.9678681080615132E-3</v>
      </c>
      <c r="F50">
        <f t="shared" ref="F50:G52" si="4">C50/$B$54</f>
        <v>0.28583907939908915</v>
      </c>
      <c r="G50">
        <f t="shared" si="4"/>
        <v>0.39922943487068069</v>
      </c>
    </row>
    <row r="51" spans="2:9" x14ac:dyDescent="0.25">
      <c r="B51" s="1" t="s">
        <v>33</v>
      </c>
      <c r="C51">
        <f>ASIN(E28/C46)</f>
        <v>2.6746368454606378E-4</v>
      </c>
      <c r="D51">
        <f>ASIN(F28/D46)</f>
        <v>2.2380992663982471E-3</v>
      </c>
      <c r="F51">
        <f t="shared" si="4"/>
        <v>1.5324540300384857E-2</v>
      </c>
      <c r="G51">
        <f t="shared" si="4"/>
        <v>0.12823364212001948</v>
      </c>
    </row>
    <row r="52" spans="2:9" x14ac:dyDescent="0.25">
      <c r="B52" s="1" t="s">
        <v>34</v>
      </c>
      <c r="C52">
        <f>-ASIN(E37/C46)</f>
        <v>-4.1547756339277172E-5</v>
      </c>
      <c r="D52">
        <f>-ASIN(F37/D46)</f>
        <v>6.7611331981587463E-3</v>
      </c>
      <c r="F52">
        <f t="shared" si="4"/>
        <v>-2.3805110869254032E-3</v>
      </c>
      <c r="G52">
        <f t="shared" si="4"/>
        <v>0.38738439705301103</v>
      </c>
    </row>
    <row r="54" spans="2:9" x14ac:dyDescent="0.25">
      <c r="B54">
        <f>3.141592653/180</f>
        <v>1.7453292516666667E-2</v>
      </c>
    </row>
  </sheetData>
  <pageMargins left="0.7" right="0.7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9"/>
  <sheetViews>
    <sheetView tabSelected="1" workbookViewId="0">
      <selection activeCell="F28" sqref="F28"/>
    </sheetView>
  </sheetViews>
  <sheetFormatPr defaultRowHeight="15" x14ac:dyDescent="0.25"/>
  <sheetData>
    <row r="2" spans="3:8" ht="18.75" x14ac:dyDescent="0.3">
      <c r="C2" s="2" t="s">
        <v>56</v>
      </c>
    </row>
    <row r="4" spans="3:8" x14ac:dyDescent="0.25">
      <c r="D4" t="s">
        <v>42</v>
      </c>
    </row>
    <row r="5" spans="3:8" x14ac:dyDescent="0.25">
      <c r="C5" s="1" t="s">
        <v>3</v>
      </c>
    </row>
    <row r="7" spans="3:8" ht="18" x14ac:dyDescent="0.35">
      <c r="C7" s="1" t="s">
        <v>13</v>
      </c>
      <c r="D7" s="9">
        <v>0.28799999999999998</v>
      </c>
      <c r="E7" s="8"/>
      <c r="F7" s="6"/>
      <c r="G7" s="9"/>
      <c r="H7" s="8"/>
    </row>
    <row r="8" spans="3:8" ht="18" x14ac:dyDescent="0.35">
      <c r="C8" s="1" t="s">
        <v>18</v>
      </c>
      <c r="D8" s="9">
        <v>0</v>
      </c>
      <c r="E8" s="8"/>
      <c r="F8" s="6"/>
      <c r="G8" s="9"/>
      <c r="H8" s="8"/>
    </row>
    <row r="9" spans="3:8" ht="18" x14ac:dyDescent="0.35">
      <c r="C9" s="1" t="s">
        <v>43</v>
      </c>
      <c r="D9" s="1">
        <v>1.72648</v>
      </c>
      <c r="E9" t="s">
        <v>70</v>
      </c>
      <c r="G9" s="11">
        <v>1.57</v>
      </c>
      <c r="H9" s="8"/>
    </row>
    <row r="10" spans="3:8" x14ac:dyDescent="0.25">
      <c r="D10" s="9"/>
      <c r="E10" s="8"/>
      <c r="G10" s="9"/>
      <c r="H10" s="8"/>
    </row>
    <row r="11" spans="3:8" ht="18" x14ac:dyDescent="0.35">
      <c r="C11" s="1" t="s">
        <v>14</v>
      </c>
      <c r="D11" s="9">
        <v>0.35099999999999998</v>
      </c>
      <c r="E11" s="8"/>
      <c r="F11" s="6"/>
      <c r="G11" s="9"/>
      <c r="H11" s="8"/>
    </row>
    <row r="12" spans="3:8" ht="18" x14ac:dyDescent="0.35">
      <c r="C12" s="1" t="s">
        <v>16</v>
      </c>
      <c r="D12" s="9">
        <v>0.16372999999999999</v>
      </c>
      <c r="E12" s="8"/>
      <c r="F12" s="6"/>
      <c r="G12" s="9"/>
      <c r="H12" s="8"/>
    </row>
    <row r="13" spans="3:8" ht="18" x14ac:dyDescent="0.35">
      <c r="C13" s="1" t="s">
        <v>44</v>
      </c>
      <c r="D13" s="9">
        <v>0</v>
      </c>
      <c r="E13" s="8"/>
      <c r="F13" s="6"/>
      <c r="G13" s="9"/>
      <c r="H13" s="8"/>
    </row>
    <row r="14" spans="3:8" x14ac:dyDescent="0.25">
      <c r="D14" s="9"/>
      <c r="E14" s="8"/>
      <c r="G14" s="9"/>
      <c r="H14" s="8"/>
    </row>
    <row r="15" spans="3:8" ht="18" x14ac:dyDescent="0.35">
      <c r="C15" s="1" t="s">
        <v>15</v>
      </c>
      <c r="D15" s="9">
        <v>7.0000000000000001E-3</v>
      </c>
      <c r="E15" s="8"/>
      <c r="F15" s="6"/>
      <c r="G15" s="9"/>
      <c r="H15" s="8"/>
    </row>
    <row r="16" spans="3:8" ht="18" x14ac:dyDescent="0.35">
      <c r="C16" s="1" t="s">
        <v>17</v>
      </c>
      <c r="D16" s="9">
        <v>-2E-3</v>
      </c>
      <c r="E16" s="8"/>
      <c r="F16" s="6"/>
      <c r="G16" s="9"/>
      <c r="H16" s="8"/>
    </row>
    <row r="17" spans="3:8" x14ac:dyDescent="0.25">
      <c r="C17" s="1"/>
      <c r="D17" s="1"/>
    </row>
    <row r="18" spans="3:8" x14ac:dyDescent="0.25">
      <c r="C18" s="1" t="s">
        <v>4</v>
      </c>
      <c r="D18" s="1"/>
    </row>
    <row r="19" spans="3:8" x14ac:dyDescent="0.25">
      <c r="D19" s="1"/>
    </row>
    <row r="20" spans="3:8" ht="18" x14ac:dyDescent="0.35">
      <c r="C20" s="1" t="s">
        <v>13</v>
      </c>
      <c r="D20" s="9">
        <v>0.40400000000000003</v>
      </c>
      <c r="E20" s="8"/>
      <c r="F20" s="6"/>
      <c r="G20" s="9"/>
      <c r="H20" s="8"/>
    </row>
    <row r="21" spans="3:8" ht="18" x14ac:dyDescent="0.35">
      <c r="C21" s="1" t="s">
        <v>18</v>
      </c>
      <c r="D21" s="9">
        <v>0</v>
      </c>
      <c r="E21" s="8"/>
      <c r="F21" s="6"/>
      <c r="G21" s="9"/>
      <c r="H21" s="8"/>
    </row>
    <row r="22" spans="3:8" ht="18" x14ac:dyDescent="0.35">
      <c r="C22" s="1" t="s">
        <v>43</v>
      </c>
      <c r="D22" s="1">
        <v>2.01783</v>
      </c>
      <c r="E22" t="s">
        <v>70</v>
      </c>
      <c r="F22" s="6"/>
      <c r="G22" s="11">
        <v>2.3439000000000001</v>
      </c>
      <c r="H22" s="8"/>
    </row>
    <row r="23" spans="3:8" x14ac:dyDescent="0.25">
      <c r="D23" s="9"/>
      <c r="E23" s="8"/>
      <c r="G23" s="9"/>
      <c r="H23" s="8"/>
    </row>
    <row r="24" spans="3:8" ht="18" x14ac:dyDescent="0.35">
      <c r="C24" s="1" t="s">
        <v>14</v>
      </c>
      <c r="D24" s="9">
        <v>-0.73399999999999999</v>
      </c>
      <c r="E24" s="8"/>
      <c r="F24" s="6"/>
      <c r="G24" s="9"/>
      <c r="H24" s="8"/>
    </row>
    <row r="25" spans="3:8" ht="18" x14ac:dyDescent="0.35">
      <c r="C25" s="1" t="s">
        <v>16</v>
      </c>
      <c r="D25" s="9">
        <v>0</v>
      </c>
      <c r="E25" s="8"/>
      <c r="F25" s="6"/>
      <c r="G25" s="9"/>
      <c r="H25" s="8"/>
    </row>
    <row r="26" spans="3:8" ht="18" x14ac:dyDescent="0.35">
      <c r="C26" s="1" t="s">
        <v>44</v>
      </c>
      <c r="D26" s="1">
        <v>0.18099999999999999</v>
      </c>
      <c r="E26" t="s">
        <v>70</v>
      </c>
      <c r="F26" s="6"/>
      <c r="G26" s="11">
        <v>0.58760000000000001</v>
      </c>
      <c r="H26" s="8"/>
    </row>
    <row r="27" spans="3:8" x14ac:dyDescent="0.25">
      <c r="D27" s="9"/>
      <c r="E27" s="8"/>
      <c r="G27" s="9"/>
      <c r="H27" s="8"/>
    </row>
    <row r="28" spans="3:8" ht="18" x14ac:dyDescent="0.35">
      <c r="C28" s="1" t="s">
        <v>15</v>
      </c>
      <c r="D28" s="9">
        <v>0.129</v>
      </c>
      <c r="E28" s="8"/>
      <c r="F28" s="6"/>
      <c r="G28" s="9"/>
      <c r="H28" s="8"/>
    </row>
    <row r="29" spans="3:8" ht="18" x14ac:dyDescent="0.35">
      <c r="C29" s="1" t="s">
        <v>17</v>
      </c>
      <c r="D29" s="9">
        <v>0.34499999999999997</v>
      </c>
      <c r="E29" s="8"/>
      <c r="F29" s="6"/>
      <c r="G29" s="9"/>
      <c r="H29" s="8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opLeftCell="A13" workbookViewId="0">
      <selection activeCell="I33" sqref="I33"/>
    </sheetView>
  </sheetViews>
  <sheetFormatPr defaultRowHeight="15" x14ac:dyDescent="0.25"/>
  <cols>
    <col min="5" max="5" width="9.7109375" bestFit="1" customWidth="1"/>
  </cols>
  <sheetData>
    <row r="1" spans="1:18" x14ac:dyDescent="0.25">
      <c r="P1" s="1" t="s">
        <v>2</v>
      </c>
      <c r="Q1" s="1"/>
    </row>
    <row r="2" spans="1:18" x14ac:dyDescent="0.25">
      <c r="P2" s="1" t="s">
        <v>3</v>
      </c>
      <c r="Q2" s="1" t="s">
        <v>4</v>
      </c>
      <c r="R2" t="s">
        <v>41</v>
      </c>
    </row>
    <row r="3" spans="1:18" x14ac:dyDescent="0.25">
      <c r="B3" t="s">
        <v>47</v>
      </c>
      <c r="C3">
        <v>0.25185999999999997</v>
      </c>
      <c r="F3" t="s">
        <v>53</v>
      </c>
      <c r="G3" t="s">
        <v>54</v>
      </c>
      <c r="O3" s="1" t="s">
        <v>5</v>
      </c>
      <c r="P3">
        <v>-1.63</v>
      </c>
      <c r="Q3">
        <v>-2.38</v>
      </c>
    </row>
    <row r="4" spans="1:18" x14ac:dyDescent="0.25">
      <c r="O4" s="1" t="s">
        <v>6</v>
      </c>
      <c r="P4">
        <v>-0.24</v>
      </c>
      <c r="Q4">
        <v>1.26</v>
      </c>
    </row>
    <row r="5" spans="1:18" x14ac:dyDescent="0.25">
      <c r="B5" t="s">
        <v>48</v>
      </c>
      <c r="C5">
        <v>-5.24</v>
      </c>
      <c r="E5">
        <f>(C5-P3)/5/1000</f>
        <v>-7.2200000000000009E-4</v>
      </c>
      <c r="F5">
        <f>-E5*180/$C$3/3.151592653</f>
        <v>0.16372704525096735</v>
      </c>
      <c r="G5">
        <f>-ASIN(E5/$C$3)</f>
        <v>2.8666758869209164E-3</v>
      </c>
      <c r="H5">
        <v>0</v>
      </c>
      <c r="J5" t="s">
        <v>51</v>
      </c>
      <c r="O5" s="1" t="s">
        <v>7</v>
      </c>
      <c r="P5">
        <v>-0.21</v>
      </c>
      <c r="Q5">
        <v>-0.68</v>
      </c>
    </row>
    <row r="6" spans="1:18" x14ac:dyDescent="0.25">
      <c r="A6">
        <v>119</v>
      </c>
      <c r="B6" t="s">
        <v>49</v>
      </c>
      <c r="C6">
        <v>-1.2588999999999999</v>
      </c>
      <c r="E6">
        <f>(C6-P4/1000)/5</f>
        <v>-0.25173199999999996</v>
      </c>
    </row>
    <row r="7" spans="1:18" x14ac:dyDescent="0.25">
      <c r="B7" t="s">
        <v>50</v>
      </c>
      <c r="C7">
        <v>0.14000000000000001</v>
      </c>
      <c r="E7">
        <f>(C7-P5)/5/1000</f>
        <v>6.9999999999999994E-5</v>
      </c>
      <c r="F7">
        <f>-E7*180/$C$3/3.151592653</f>
        <v>-1.5873813251478821E-2</v>
      </c>
      <c r="G7">
        <f>-ASIN(E7/$C$3)</f>
        <v>-2.7793218812517613E-4</v>
      </c>
      <c r="J7" t="s">
        <v>52</v>
      </c>
    </row>
    <row r="8" spans="1:18" x14ac:dyDescent="0.25">
      <c r="G8">
        <f t="shared" ref="G8:G11" si="0">-ASIN(E8/$C$3)</f>
        <v>0</v>
      </c>
    </row>
    <row r="9" spans="1:18" x14ac:dyDescent="0.25">
      <c r="B9" t="s">
        <v>48</v>
      </c>
      <c r="C9">
        <v>-14.85</v>
      </c>
      <c r="E9">
        <f>(C9-Q3)/5/1000</f>
        <v>-2.4939999999999997E-3</v>
      </c>
      <c r="F9">
        <f>-E9*180/$C$3/3.151592653</f>
        <v>0.56556128927411686</v>
      </c>
      <c r="G9">
        <f t="shared" si="0"/>
        <v>9.9024885271180776E-3</v>
      </c>
      <c r="H9">
        <f>G9-G5</f>
        <v>7.0358126401971616E-3</v>
      </c>
      <c r="I9">
        <f>H9*180/3.141592653</f>
        <v>0.40312236980377514</v>
      </c>
      <c r="J9" t="s">
        <v>51</v>
      </c>
    </row>
    <row r="10" spans="1:18" x14ac:dyDescent="0.25">
      <c r="A10">
        <v>120</v>
      </c>
      <c r="B10" t="s">
        <v>49</v>
      </c>
      <c r="C10">
        <v>-1.2605</v>
      </c>
      <c r="E10">
        <f>(C10-Q4/1000)/5</f>
        <v>-0.25235200000000002</v>
      </c>
    </row>
    <row r="11" spans="1:18" x14ac:dyDescent="0.25">
      <c r="B11" t="s">
        <v>50</v>
      </c>
      <c r="C11">
        <v>-1.23</v>
      </c>
      <c r="E11">
        <f>(C11-Q5)/5/1000</f>
        <v>-1.0999999999999999E-4</v>
      </c>
      <c r="F11">
        <f>-E11*180/$C$3/3.151592653</f>
        <v>2.4944563680895291E-2</v>
      </c>
      <c r="G11">
        <f t="shared" si="0"/>
        <v>4.3675058960177541E-4</v>
      </c>
      <c r="J11" t="s">
        <v>52</v>
      </c>
    </row>
    <row r="16" spans="1:18" x14ac:dyDescent="0.25">
      <c r="B16" t="s">
        <v>47</v>
      </c>
      <c r="C16">
        <v>0.25065999999999999</v>
      </c>
      <c r="F16" t="s">
        <v>53</v>
      </c>
      <c r="G16" t="s">
        <v>54</v>
      </c>
    </row>
    <row r="18" spans="1:10" x14ac:dyDescent="0.25">
      <c r="B18" t="s">
        <v>48</v>
      </c>
      <c r="C18">
        <v>-1.2605999999999999</v>
      </c>
      <c r="E18">
        <f>(C18-P3/1000)/5</f>
        <v>-0.25179399999999996</v>
      </c>
    </row>
    <row r="19" spans="1:10" x14ac:dyDescent="0.25">
      <c r="A19">
        <v>119</v>
      </c>
      <c r="B19" t="s">
        <v>49</v>
      </c>
      <c r="C19">
        <v>39.39</v>
      </c>
      <c r="E19">
        <f>(C19-P4)/5/1000</f>
        <v>7.9260000000000008E-3</v>
      </c>
      <c r="F19">
        <f>G19*180/3.151592653</f>
        <v>1.7976660013501762</v>
      </c>
      <c r="G19">
        <f>ASIN(E19/$C$3)</f>
        <v>3.1475060902239463E-2</v>
      </c>
      <c r="H19">
        <f>G19-G5</f>
        <v>2.8608385015318545E-2</v>
      </c>
      <c r="I19">
        <f>H19*180/3.141592653</f>
        <v>1.6391397203707869</v>
      </c>
      <c r="J19" t="s">
        <v>51</v>
      </c>
    </row>
    <row r="20" spans="1:10" x14ac:dyDescent="0.25">
      <c r="B20" t="s">
        <v>50</v>
      </c>
      <c r="C20">
        <v>-0.37</v>
      </c>
      <c r="E20">
        <f>(C20-P5)/5/1000</f>
        <v>-3.1999999999999999E-5</v>
      </c>
      <c r="F20">
        <f t="shared" ref="F20:F23" si="1">G20*180/3.151592653</f>
        <v>-7.2566003630569389E-3</v>
      </c>
      <c r="G20">
        <f>ASIN(E20/$C$3)</f>
        <v>-1.2705471327759655E-4</v>
      </c>
      <c r="J20" t="s">
        <v>55</v>
      </c>
    </row>
    <row r="22" spans="1:10" x14ac:dyDescent="0.25">
      <c r="B22" t="s">
        <v>48</v>
      </c>
      <c r="C22">
        <v>-1.2585999999999999</v>
      </c>
      <c r="E22">
        <f>(C22-Q3/1000)/5</f>
        <v>-0.25124399999999997</v>
      </c>
    </row>
    <row r="23" spans="1:10" x14ac:dyDescent="0.25">
      <c r="A23">
        <v>120</v>
      </c>
      <c r="B23" t="s">
        <v>49</v>
      </c>
      <c r="C23">
        <v>54.84</v>
      </c>
      <c r="E23">
        <f>(C23-Q4)/5/1000</f>
        <v>1.0716000000000002E-2</v>
      </c>
      <c r="F23">
        <f t="shared" si="1"/>
        <v>2.43078781978494</v>
      </c>
      <c r="G23">
        <f>ASIN(E23/$C$3)</f>
        <v>4.25602946324228E-2</v>
      </c>
      <c r="H23">
        <f>G23-G5</f>
        <v>3.9693618745501882E-2</v>
      </c>
      <c r="I23">
        <f>H23*180/3.141592653</f>
        <v>2.2742768281455934</v>
      </c>
      <c r="J23" t="s">
        <v>51</v>
      </c>
    </row>
    <row r="24" spans="1:10" x14ac:dyDescent="0.25">
      <c r="B24" t="s">
        <v>50</v>
      </c>
      <c r="C24">
        <v>5.73</v>
      </c>
      <c r="E24">
        <f>(C24-Q5)/5/1000</f>
        <v>1.2819999999999999E-3</v>
      </c>
      <c r="F24">
        <f>G24*180/3.151592653</f>
        <v>0.29071880666451239</v>
      </c>
      <c r="G24">
        <f>ASIN(E24/$C$3)</f>
        <v>5.0901514176266921E-3</v>
      </c>
      <c r="J24" t="s">
        <v>55</v>
      </c>
    </row>
    <row r="27" spans="1:10" x14ac:dyDescent="0.25">
      <c r="B27" t="s">
        <v>47</v>
      </c>
      <c r="C27">
        <v>0.25566</v>
      </c>
      <c r="F27" t="s">
        <v>53</v>
      </c>
      <c r="G27" t="s">
        <v>54</v>
      </c>
    </row>
    <row r="29" spans="1:10" x14ac:dyDescent="0.25">
      <c r="B29" t="s">
        <v>48</v>
      </c>
      <c r="C29">
        <v>3.65</v>
      </c>
      <c r="E29">
        <f>(C29-P3)/5/1000</f>
        <v>1.0559999999999999E-3</v>
      </c>
      <c r="F29">
        <f>E29*180/$C$27/3.151592653</f>
        <v>0.23590848378015633</v>
      </c>
      <c r="G29">
        <f>ASIN(E29/$C$27)</f>
        <v>4.1304975465216833E-3</v>
      </c>
      <c r="H29">
        <v>0</v>
      </c>
      <c r="J29" t="s">
        <v>51</v>
      </c>
    </row>
    <row r="30" spans="1:10" x14ac:dyDescent="0.25">
      <c r="A30">
        <v>119</v>
      </c>
      <c r="B30" t="s">
        <v>49</v>
      </c>
      <c r="C30">
        <v>1.2794000000000001</v>
      </c>
      <c r="E30">
        <f>(C30-P4/1000)/5</f>
        <v>0.25592800000000004</v>
      </c>
    </row>
    <row r="31" spans="1:10" x14ac:dyDescent="0.25">
      <c r="B31" t="s">
        <v>50</v>
      </c>
      <c r="C31">
        <v>-0.76</v>
      </c>
      <c r="E31">
        <f>(C31-P5)/5/1000</f>
        <v>-1.1000000000000002E-4</v>
      </c>
      <c r="F31">
        <f>E31*180/$C$27/3.151592653</f>
        <v>-2.4573800393766287E-2</v>
      </c>
      <c r="G31">
        <f>ASIN(E31/$C$27)</f>
        <v>-4.3025895092668954E-4</v>
      </c>
      <c r="J31" t="s">
        <v>52</v>
      </c>
    </row>
    <row r="32" spans="1:10" x14ac:dyDescent="0.25">
      <c r="G32">
        <f t="shared" ref="G32" si="2">-ASIN(E32/$C$3)</f>
        <v>0</v>
      </c>
    </row>
    <row r="33" spans="1:10" x14ac:dyDescent="0.25">
      <c r="B33" t="s">
        <v>48</v>
      </c>
      <c r="C33">
        <v>16.22</v>
      </c>
      <c r="E33">
        <f>(C33-Q3)/5/1000</f>
        <v>3.7199999999999998E-3</v>
      </c>
      <c r="F33">
        <f>E33*180/$C$27/3.151592653</f>
        <v>0.83104124968009618</v>
      </c>
      <c r="G33">
        <f>ASIN(E33/$C$27)</f>
        <v>1.4551088470749426E-2</v>
      </c>
      <c r="H33">
        <f>G33-G29</f>
        <v>1.0420590924227743E-2</v>
      </c>
      <c r="I33">
        <f>H33*180/3.141592653</f>
        <v>0.59705588010266897</v>
      </c>
      <c r="J33" t="s">
        <v>51</v>
      </c>
    </row>
    <row r="34" spans="1:10" x14ac:dyDescent="0.25">
      <c r="A34">
        <v>120</v>
      </c>
      <c r="B34" t="s">
        <v>49</v>
      </c>
      <c r="C34">
        <v>1.2825</v>
      </c>
      <c r="E34" s="8">
        <f>(C34-Q4/1000)/5</f>
        <v>0.25624799999999998</v>
      </c>
    </row>
    <row r="35" spans="1:10" x14ac:dyDescent="0.25">
      <c r="B35" t="s">
        <v>50</v>
      </c>
      <c r="C35">
        <v>-2.12</v>
      </c>
      <c r="E35">
        <f>(C35-Q5)/5/1000</f>
        <v>-2.8799999999999995E-4</v>
      </c>
      <c r="F35">
        <f>E35*180/$C$27/3.151592653</f>
        <v>-6.4338677394588081E-2</v>
      </c>
      <c r="G35">
        <f>ASIN(E35/$C$27)</f>
        <v>-1.1264963659224126E-3</v>
      </c>
      <c r="J35" t="s">
        <v>52</v>
      </c>
    </row>
    <row r="40" spans="1:10" x14ac:dyDescent="0.25">
      <c r="B40" t="s">
        <v>47</v>
      </c>
      <c r="C40">
        <v>0.25464999999999999</v>
      </c>
      <c r="F40" t="s">
        <v>53</v>
      </c>
      <c r="G40" t="s">
        <v>54</v>
      </c>
    </row>
    <row r="42" spans="1:10" x14ac:dyDescent="0.25">
      <c r="B42" t="s">
        <v>48</v>
      </c>
      <c r="C42">
        <v>1.2766</v>
      </c>
      <c r="E42">
        <f>(C42-P3/1000)/5</f>
        <v>0.25564599999999998</v>
      </c>
    </row>
    <row r="43" spans="1:10" x14ac:dyDescent="0.25">
      <c r="A43">
        <v>119</v>
      </c>
      <c r="B43" t="s">
        <v>49</v>
      </c>
      <c r="C43">
        <v>-40.700000000000003</v>
      </c>
      <c r="E43">
        <f>(C43-P4)/5/1000</f>
        <v>-8.0920000000000002E-3</v>
      </c>
      <c r="F43">
        <f>G43*180/3.151592653</f>
        <v>1.8152135982286206</v>
      </c>
      <c r="G43">
        <f>-ASIN(E43/$C$40)</f>
        <v>3.1782299110016746E-2</v>
      </c>
      <c r="H43">
        <f>G43-G29</f>
        <v>2.7651801563495063E-2</v>
      </c>
      <c r="I43">
        <f>H43*180/3.141592653</f>
        <v>1.5843315258189559</v>
      </c>
      <c r="J43" t="s">
        <v>51</v>
      </c>
    </row>
    <row r="44" spans="1:10" x14ac:dyDescent="0.25">
      <c r="B44" t="s">
        <v>50</v>
      </c>
      <c r="C44">
        <v>0.26</v>
      </c>
      <c r="E44">
        <f>(C44-P5)/5/1000</f>
        <v>9.3999999999999994E-5</v>
      </c>
      <c r="F44">
        <f>G44*180/3.151592653</f>
        <v>-2.1082718434449838E-2</v>
      </c>
      <c r="G44">
        <f>-ASIN(E44/$C$40)</f>
        <v>-3.6913411401822088E-4</v>
      </c>
      <c r="J44" t="s">
        <v>55</v>
      </c>
    </row>
    <row r="46" spans="1:10" x14ac:dyDescent="0.25">
      <c r="B46" t="s">
        <v>48</v>
      </c>
      <c r="C46">
        <v>1.2729999999999999</v>
      </c>
      <c r="E46" s="8">
        <f>(C46-Q3/1000)/5</f>
        <v>0.25507599999999997</v>
      </c>
    </row>
    <row r="47" spans="1:10" x14ac:dyDescent="0.25">
      <c r="A47">
        <v>120</v>
      </c>
      <c r="B47" t="s">
        <v>49</v>
      </c>
      <c r="C47">
        <v>-56</v>
      </c>
      <c r="E47">
        <f>(C47-Q4)/5/1000</f>
        <v>-1.1452E-2</v>
      </c>
      <c r="F47">
        <f t="shared" ref="F47" si="3">G47*180/3.151592653</f>
        <v>2.5693696049686925</v>
      </c>
      <c r="G47">
        <f>-ASIN(E47/$C$40)</f>
        <v>4.498670205478246E-2</v>
      </c>
      <c r="H47">
        <f>G47-G29</f>
        <v>4.0856204508260774E-2</v>
      </c>
      <c r="I47">
        <f>H47*180/3.141592653</f>
        <v>2.3408880856861805</v>
      </c>
      <c r="J47" t="s">
        <v>51</v>
      </c>
    </row>
    <row r="48" spans="1:10" x14ac:dyDescent="0.25">
      <c r="B48" t="s">
        <v>50</v>
      </c>
      <c r="C48">
        <v>-6.54</v>
      </c>
      <c r="E48">
        <f>(C48-Q5)/5/1000</f>
        <v>-1.1720000000000001E-3</v>
      </c>
      <c r="F48">
        <f>G48*180/3.151592653</f>
        <v>0.26286204974319993</v>
      </c>
      <c r="G48">
        <f>-ASIN(E48/$C$40)</f>
        <v>4.6024116929066078E-3</v>
      </c>
      <c r="J48" t="s">
        <v>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topLeftCell="A7" workbookViewId="0">
      <selection activeCell="O36" sqref="O36"/>
    </sheetView>
  </sheetViews>
  <sheetFormatPr defaultRowHeight="15" x14ac:dyDescent="0.25"/>
  <cols>
    <col min="1" max="1" width="9.7109375" bestFit="1" customWidth="1"/>
  </cols>
  <sheetData>
    <row r="2" spans="1:16" x14ac:dyDescent="0.25">
      <c r="A2" s="7">
        <v>42086</v>
      </c>
    </row>
    <row r="3" spans="1:16" ht="18.75" x14ac:dyDescent="0.3">
      <c r="A3" s="2" t="s">
        <v>0</v>
      </c>
      <c r="B3" s="2"/>
      <c r="C3" s="2"/>
      <c r="D3" s="2"/>
    </row>
    <row r="4" spans="1:16" x14ac:dyDescent="0.25">
      <c r="A4" s="1" t="s">
        <v>1</v>
      </c>
      <c r="B4" s="1"/>
      <c r="C4" s="1"/>
      <c r="E4" t="s">
        <v>57</v>
      </c>
    </row>
    <row r="6" spans="1:16" x14ac:dyDescent="0.25">
      <c r="B6" s="1" t="s">
        <v>2</v>
      </c>
      <c r="C6" s="1"/>
    </row>
    <row r="7" spans="1:16" x14ac:dyDescent="0.25">
      <c r="B7" s="1" t="s">
        <v>3</v>
      </c>
      <c r="C7" s="1" t="s">
        <v>4</v>
      </c>
      <c r="D7" t="s">
        <v>41</v>
      </c>
    </row>
    <row r="8" spans="1:16" x14ac:dyDescent="0.25">
      <c r="A8" s="1" t="s">
        <v>5</v>
      </c>
      <c r="B8">
        <v>-1.63</v>
      </c>
      <c r="C8">
        <v>-2.38</v>
      </c>
    </row>
    <row r="9" spans="1:16" x14ac:dyDescent="0.25">
      <c r="A9" s="1" t="s">
        <v>6</v>
      </c>
      <c r="B9">
        <v>-0.24</v>
      </c>
      <c r="C9">
        <v>1.26</v>
      </c>
    </row>
    <row r="10" spans="1:16" x14ac:dyDescent="0.25">
      <c r="A10" s="1" t="s">
        <v>7</v>
      </c>
      <c r="B10">
        <v>-0.21</v>
      </c>
      <c r="C10">
        <v>-0.68</v>
      </c>
    </row>
    <row r="13" spans="1:16" x14ac:dyDescent="0.25">
      <c r="A13" s="1" t="s">
        <v>8</v>
      </c>
    </row>
    <row r="14" spans="1:16" x14ac:dyDescent="0.25">
      <c r="E14" s="1" t="s">
        <v>11</v>
      </c>
      <c r="N14" t="s">
        <v>45</v>
      </c>
    </row>
    <row r="15" spans="1:16" ht="17.25" x14ac:dyDescent="0.3">
      <c r="B15" s="1" t="s">
        <v>3</v>
      </c>
      <c r="C15" s="1" t="s">
        <v>4</v>
      </c>
      <c r="E15" s="1" t="s">
        <v>3</v>
      </c>
      <c r="F15" s="1" t="s">
        <v>4</v>
      </c>
      <c r="N15" s="1" t="s">
        <v>3</v>
      </c>
      <c r="O15" s="1" t="s">
        <v>4</v>
      </c>
      <c r="P15" s="4" t="s">
        <v>12</v>
      </c>
    </row>
    <row r="17" spans="1:16" ht="18" x14ac:dyDescent="0.35">
      <c r="A17" s="1" t="s">
        <v>19</v>
      </c>
      <c r="B17" s="3">
        <v>-25.34</v>
      </c>
      <c r="C17" s="3">
        <v>47.03</v>
      </c>
      <c r="E17">
        <f>B17-B8</f>
        <v>-23.71</v>
      </c>
      <c r="F17">
        <f>C17-C8</f>
        <v>49.410000000000004</v>
      </c>
      <c r="M17" s="1" t="s">
        <v>13</v>
      </c>
      <c r="N17">
        <f>ASIN(-E18/E19/1000)*180/PI()</f>
        <v>0.29143770931485052</v>
      </c>
      <c r="O17">
        <f>ASIN(-F18/F19/1000)*180/PI()</f>
        <v>0.40849887836133958</v>
      </c>
      <c r="P17">
        <f>N17-O17</f>
        <v>-0.11706116904648906</v>
      </c>
    </row>
    <row r="18" spans="1:16" ht="18" x14ac:dyDescent="0.35">
      <c r="A18" s="1" t="s">
        <v>20</v>
      </c>
      <c r="B18" s="3">
        <v>19.28</v>
      </c>
      <c r="C18" s="3">
        <v>28.59</v>
      </c>
      <c r="E18">
        <f t="shared" ref="E18:F18" si="0">B18-B9</f>
        <v>19.52</v>
      </c>
      <c r="F18">
        <f t="shared" si="0"/>
        <v>27.33</v>
      </c>
      <c r="M18" s="1" t="s">
        <v>14</v>
      </c>
      <c r="N18">
        <f>-ASIN(-E17/E19/1000)*180/PI()</f>
        <v>0.35399601705571998</v>
      </c>
      <c r="O18">
        <f>-ASIN(-F17/F19/1000)*180/PI()</f>
        <v>-0.73854070688818252</v>
      </c>
      <c r="P18">
        <f>N18-O18</f>
        <v>1.0925367239439026</v>
      </c>
    </row>
    <row r="19" spans="1:16" x14ac:dyDescent="0.25">
      <c r="A19" s="1" t="s">
        <v>21</v>
      </c>
      <c r="B19" s="5">
        <v>-3.8378000000000001</v>
      </c>
      <c r="C19" s="5">
        <v>-3.8340000000000001</v>
      </c>
      <c r="E19">
        <f>B19-B10/1000</f>
        <v>-3.8375900000000001</v>
      </c>
      <c r="F19">
        <f>C19-C10/1000</f>
        <v>-3.8333200000000001</v>
      </c>
      <c r="M19" s="1"/>
    </row>
    <row r="22" spans="1:16" x14ac:dyDescent="0.25">
      <c r="A22" s="1" t="s">
        <v>9</v>
      </c>
    </row>
    <row r="23" spans="1:16" x14ac:dyDescent="0.25">
      <c r="E23" s="1" t="s">
        <v>11</v>
      </c>
    </row>
    <row r="24" spans="1:16" x14ac:dyDescent="0.25">
      <c r="B24" s="1" t="s">
        <v>3</v>
      </c>
      <c r="C24" s="1" t="s">
        <v>4</v>
      </c>
      <c r="E24" s="1" t="s">
        <v>3</v>
      </c>
      <c r="F24" s="1" t="s">
        <v>4</v>
      </c>
      <c r="N24" s="1" t="s">
        <v>3</v>
      </c>
      <c r="O24" s="1" t="s">
        <v>4</v>
      </c>
    </row>
    <row r="26" spans="1:16" ht="18" x14ac:dyDescent="0.35">
      <c r="A26" s="1" t="s">
        <v>22</v>
      </c>
      <c r="B26" s="3">
        <v>-40.79</v>
      </c>
      <c r="C26" s="3">
        <v>-11.43</v>
      </c>
      <c r="E26">
        <f>B26-B8</f>
        <v>-39.159999999999997</v>
      </c>
      <c r="F26">
        <f>C26-C8</f>
        <v>-9.0500000000000007</v>
      </c>
      <c r="M26" s="1" t="s">
        <v>15</v>
      </c>
      <c r="N26">
        <f>ASIN(E28/E27/1000)*180/PI()</f>
        <v>7.3101522279624149E-3</v>
      </c>
      <c r="O26">
        <f>ASIN(F28/F27/1000)*180/PI()</f>
        <v>0.14788464516923777</v>
      </c>
      <c r="P26">
        <f>N26-O26</f>
        <v>-0.14057449294127536</v>
      </c>
    </row>
    <row r="27" spans="1:16" ht="18" x14ac:dyDescent="0.35">
      <c r="A27" s="1" t="s">
        <v>23</v>
      </c>
      <c r="B27" s="3">
        <v>3.8403</v>
      </c>
      <c r="C27" s="3">
        <v>3.8485</v>
      </c>
      <c r="E27">
        <f>B27-B9/1000</f>
        <v>3.8405399999999998</v>
      </c>
      <c r="F27">
        <f>C27-C9/1000</f>
        <v>3.8472400000000002</v>
      </c>
      <c r="M27" s="1" t="s">
        <v>16</v>
      </c>
      <c r="N27">
        <f>ASIN(E26/E27/1000)*180/PI()</f>
        <v>-0.58422555331539527</v>
      </c>
      <c r="O27">
        <f>ASIN(F26/F27/1000)*180/PI()</f>
        <v>-0.13477903193054852</v>
      </c>
      <c r="P27">
        <f>N27-O27</f>
        <v>-0.44944652138484675</v>
      </c>
    </row>
    <row r="28" spans="1:16" x14ac:dyDescent="0.25">
      <c r="A28" s="1" t="s">
        <v>24</v>
      </c>
      <c r="B28" s="3">
        <v>0.28000000000000003</v>
      </c>
      <c r="C28" s="3">
        <v>9.25</v>
      </c>
      <c r="E28">
        <f t="shared" ref="E28:F28" si="1">B28-B10</f>
        <v>0.49</v>
      </c>
      <c r="F28">
        <f t="shared" si="1"/>
        <v>9.93</v>
      </c>
    </row>
    <row r="31" spans="1:16" x14ac:dyDescent="0.25">
      <c r="A31" s="1" t="s">
        <v>10</v>
      </c>
    </row>
    <row r="32" spans="1:16" x14ac:dyDescent="0.25">
      <c r="E32" s="1" t="s">
        <v>11</v>
      </c>
    </row>
    <row r="33" spans="1:16" x14ac:dyDescent="0.25">
      <c r="B33" s="1" t="s">
        <v>3</v>
      </c>
      <c r="C33" s="1" t="s">
        <v>4</v>
      </c>
      <c r="E33" s="1" t="s">
        <v>3</v>
      </c>
      <c r="F33" s="1" t="s">
        <v>4</v>
      </c>
      <c r="N33" s="1" t="s">
        <v>3</v>
      </c>
      <c r="O33" s="1" t="s">
        <v>4</v>
      </c>
    </row>
    <row r="35" spans="1:16" ht="18" x14ac:dyDescent="0.35">
      <c r="A35" s="1" t="s">
        <v>25</v>
      </c>
      <c r="B35" s="3">
        <v>3.8578000000000001</v>
      </c>
      <c r="C35" s="3">
        <v>3.8502000000000001</v>
      </c>
      <c r="E35">
        <f>B35-B8/1000</f>
        <v>3.8594300000000001</v>
      </c>
      <c r="F35">
        <f>C35-C8/1000</f>
        <v>3.8525800000000001</v>
      </c>
      <c r="M35" s="1" t="s">
        <v>17</v>
      </c>
      <c r="N35">
        <f>-ASIN(E37/E35/1000)*180/PI()</f>
        <v>1.1876526828756711E-2</v>
      </c>
      <c r="O35">
        <f>-ASIN(F37/F35/1000)*180/PI()</f>
        <v>0.27647256502913453</v>
      </c>
      <c r="P35">
        <f>N35-O35</f>
        <v>-0.2645960382003778</v>
      </c>
    </row>
    <row r="36" spans="1:16" ht="18" x14ac:dyDescent="0.35">
      <c r="A36" s="1" t="s">
        <v>26</v>
      </c>
      <c r="B36" s="3">
        <v>-106.66</v>
      </c>
      <c r="C36" s="3">
        <v>-190.25</v>
      </c>
      <c r="E36">
        <f t="shared" ref="E36:F37" si="2">B36-B9</f>
        <v>-106.42</v>
      </c>
      <c r="F36">
        <f t="shared" si="2"/>
        <v>-191.51</v>
      </c>
      <c r="M36" s="1" t="s">
        <v>18</v>
      </c>
      <c r="N36">
        <f>ASIN(-E36/E35/1000)*180/PI()</f>
        <v>1.5800752421001807</v>
      </c>
      <c r="O36">
        <f>ASIN(-F36/F35/1000)*180/PI()</f>
        <v>2.8493214333635981</v>
      </c>
      <c r="P36">
        <f>N36-O36</f>
        <v>-1.2692461912634174</v>
      </c>
    </row>
    <row r="37" spans="1:16" x14ac:dyDescent="0.25">
      <c r="A37" s="1" t="s">
        <v>27</v>
      </c>
      <c r="B37" s="3">
        <v>-1.01</v>
      </c>
      <c r="C37" s="3">
        <v>-19.27</v>
      </c>
      <c r="E37">
        <f t="shared" si="2"/>
        <v>-0.8</v>
      </c>
      <c r="F37">
        <f t="shared" si="2"/>
        <v>-18.59</v>
      </c>
    </row>
    <row r="43" spans="1:16" x14ac:dyDescent="0.25">
      <c r="C43" s="1"/>
      <c r="D43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E23" sqref="E23"/>
    </sheetView>
  </sheetViews>
  <sheetFormatPr defaultRowHeight="15" x14ac:dyDescent="0.25"/>
  <cols>
    <col min="1" max="1" width="11.42578125" customWidth="1"/>
    <col min="2" max="2" width="10.28515625" customWidth="1"/>
  </cols>
  <sheetData>
    <row r="1" spans="1:17" x14ac:dyDescent="0.25">
      <c r="A1" s="7">
        <v>42088</v>
      </c>
      <c r="O1" s="3"/>
      <c r="P1" s="10" t="s">
        <v>2</v>
      </c>
      <c r="Q1" s="10"/>
    </row>
    <row r="2" spans="1:17" ht="18.75" x14ac:dyDescent="0.3">
      <c r="C2" s="2" t="s">
        <v>60</v>
      </c>
      <c r="O2" s="3"/>
      <c r="P2" s="10" t="s">
        <v>3</v>
      </c>
      <c r="Q2" s="10" t="s">
        <v>4</v>
      </c>
    </row>
    <row r="3" spans="1:17" x14ac:dyDescent="0.25">
      <c r="O3" s="10" t="s">
        <v>5</v>
      </c>
      <c r="P3" s="3">
        <v>-1.63</v>
      </c>
      <c r="Q3" s="3">
        <v>-2.38</v>
      </c>
    </row>
    <row r="4" spans="1:17" x14ac:dyDescent="0.25">
      <c r="A4" s="10" t="s">
        <v>61</v>
      </c>
      <c r="B4" s="10" t="s">
        <v>64</v>
      </c>
      <c r="C4" s="10" t="s">
        <v>62</v>
      </c>
      <c r="E4" s="10" t="s">
        <v>63</v>
      </c>
      <c r="I4" s="10" t="s">
        <v>65</v>
      </c>
      <c r="J4" s="10" t="s">
        <v>66</v>
      </c>
      <c r="O4" s="10" t="s">
        <v>6</v>
      </c>
      <c r="P4" s="3">
        <v>-0.24</v>
      </c>
      <c r="Q4" s="3">
        <v>1.26</v>
      </c>
    </row>
    <row r="5" spans="1:17" x14ac:dyDescent="0.25">
      <c r="O5" s="10" t="s">
        <v>7</v>
      </c>
      <c r="P5" s="3">
        <v>-0.21</v>
      </c>
      <c r="Q5" s="3">
        <v>-0.68</v>
      </c>
    </row>
    <row r="6" spans="1:17" x14ac:dyDescent="0.25">
      <c r="A6">
        <v>0</v>
      </c>
      <c r="B6">
        <f>A6/350*6/180*3.141592653</f>
        <v>0</v>
      </c>
      <c r="C6">
        <v>-237.45</v>
      </c>
      <c r="D6">
        <f t="shared" ref="D6:D20" si="0">C6-$P$3</f>
        <v>-235.82</v>
      </c>
      <c r="H6">
        <v>230.84</v>
      </c>
      <c r="I6">
        <f t="shared" ref="I6:I20" si="1">H6-$P$4</f>
        <v>231.08</v>
      </c>
      <c r="J6">
        <v>179.54</v>
      </c>
      <c r="K6">
        <f>J6-$Q$4</f>
        <v>178.28</v>
      </c>
      <c r="L6">
        <f>-68.665*B6+179.4373-K6</f>
        <v>1.1572999999999922</v>
      </c>
      <c r="P6">
        <f>$N$8*SIN(B6+$N$9)-F6</f>
        <v>-195.88123612746296</v>
      </c>
    </row>
    <row r="7" spans="1:17" x14ac:dyDescent="0.25">
      <c r="A7">
        <v>50</v>
      </c>
      <c r="B7">
        <f t="shared" ref="B7:B20" si="2">A7/350*6/180*3.141592653</f>
        <v>1.4959965014285714E-2</v>
      </c>
      <c r="C7">
        <v>-179.38</v>
      </c>
      <c r="D7">
        <f t="shared" si="0"/>
        <v>-177.75</v>
      </c>
      <c r="E7">
        <v>-139.13999999999999</v>
      </c>
      <c r="F7">
        <f t="shared" ref="F7:F20" si="3">E7-$Q$3</f>
        <v>-136.76</v>
      </c>
      <c r="H7">
        <v>173.76</v>
      </c>
      <c r="I7">
        <f t="shared" si="1"/>
        <v>174</v>
      </c>
      <c r="J7">
        <v>122.35</v>
      </c>
      <c r="K7">
        <f t="shared" ref="K7:K20" si="4">J7-$Q$4</f>
        <v>121.08999999999999</v>
      </c>
      <c r="L7">
        <f t="shared" ref="L7:L20" si="5">-68.665*B7+179.4373-K7</f>
        <v>57.320074002294078</v>
      </c>
      <c r="P7">
        <f t="shared" ref="P7:P20" si="6">$N$8*SIN(B7+$N$9)-F7</f>
        <v>-0.12033328935305576</v>
      </c>
    </row>
    <row r="8" spans="1:17" x14ac:dyDescent="0.25">
      <c r="A8">
        <v>100</v>
      </c>
      <c r="B8">
        <f t="shared" si="2"/>
        <v>2.9919930028571427E-2</v>
      </c>
      <c r="C8">
        <v>-120.69</v>
      </c>
      <c r="D8">
        <f t="shared" si="0"/>
        <v>-119.06</v>
      </c>
      <c r="E8">
        <v>-80.55</v>
      </c>
      <c r="F8">
        <f t="shared" si="3"/>
        <v>-78.17</v>
      </c>
      <c r="H8">
        <v>115.22</v>
      </c>
      <c r="I8">
        <f t="shared" si="1"/>
        <v>115.46</v>
      </c>
      <c r="J8">
        <v>63.71</v>
      </c>
      <c r="K8">
        <f t="shared" si="4"/>
        <v>62.45</v>
      </c>
      <c r="L8">
        <f t="shared" si="5"/>
        <v>114.93284800458814</v>
      </c>
      <c r="N8">
        <v>3947.4647459918137</v>
      </c>
      <c r="P8">
        <f t="shared" si="6"/>
        <v>0.32120287175381179</v>
      </c>
    </row>
    <row r="9" spans="1:17" x14ac:dyDescent="0.25">
      <c r="A9">
        <v>150</v>
      </c>
      <c r="B9">
        <f t="shared" si="2"/>
        <v>4.4879895042857137E-2</v>
      </c>
      <c r="C9">
        <v>-61.49</v>
      </c>
      <c r="D9">
        <f t="shared" si="0"/>
        <v>-59.86</v>
      </c>
      <c r="E9">
        <v>-21.5</v>
      </c>
      <c r="F9">
        <f t="shared" si="3"/>
        <v>-19.12</v>
      </c>
      <c r="H9">
        <v>56.4</v>
      </c>
      <c r="I9">
        <f t="shared" si="1"/>
        <v>56.64</v>
      </c>
      <c r="J9">
        <v>4.79</v>
      </c>
      <c r="K9">
        <f t="shared" si="4"/>
        <v>3.5300000000000002</v>
      </c>
      <c r="L9">
        <f t="shared" si="5"/>
        <v>172.82562200688221</v>
      </c>
      <c r="N9">
        <v>-4.9642422631254415E-2</v>
      </c>
      <c r="P9">
        <f t="shared" si="6"/>
        <v>0.3201613117962232</v>
      </c>
    </row>
    <row r="10" spans="1:17" x14ac:dyDescent="0.25">
      <c r="A10">
        <v>200</v>
      </c>
      <c r="B10">
        <f t="shared" si="2"/>
        <v>5.9839860057142855E-2</v>
      </c>
      <c r="C10">
        <v>-2.23</v>
      </c>
      <c r="D10">
        <f t="shared" si="0"/>
        <v>-0.60000000000000009</v>
      </c>
      <c r="E10">
        <v>37.58</v>
      </c>
      <c r="F10">
        <f t="shared" si="3"/>
        <v>39.96</v>
      </c>
      <c r="H10">
        <v>-2.68</v>
      </c>
      <c r="I10">
        <f t="shared" si="1"/>
        <v>-2.4400000000000004</v>
      </c>
      <c r="J10">
        <v>-54.38</v>
      </c>
      <c r="K10">
        <f t="shared" si="4"/>
        <v>-55.64</v>
      </c>
      <c r="L10">
        <f t="shared" si="5"/>
        <v>230.96839600917627</v>
      </c>
      <c r="P10">
        <f t="shared" si="6"/>
        <v>0.29332708766980176</v>
      </c>
    </row>
    <row r="11" spans="1:17" x14ac:dyDescent="0.25">
      <c r="A11">
        <v>250</v>
      </c>
      <c r="B11">
        <f t="shared" si="2"/>
        <v>7.4799825071428572E-2</v>
      </c>
      <c r="C11">
        <v>57.34</v>
      </c>
      <c r="D11">
        <f t="shared" si="0"/>
        <v>58.970000000000006</v>
      </c>
      <c r="E11">
        <v>97</v>
      </c>
      <c r="F11">
        <f t="shared" si="3"/>
        <v>99.38</v>
      </c>
      <c r="H11">
        <v>-61.68</v>
      </c>
      <c r="I11">
        <f t="shared" si="1"/>
        <v>-61.44</v>
      </c>
      <c r="J11">
        <v>-113.44</v>
      </c>
      <c r="K11">
        <f t="shared" si="4"/>
        <v>-114.7</v>
      </c>
      <c r="L11">
        <f t="shared" si="5"/>
        <v>289.00117001147038</v>
      </c>
      <c r="P11">
        <f t="shared" si="6"/>
        <v>-8.2515685316380427E-2</v>
      </c>
    </row>
    <row r="12" spans="1:17" x14ac:dyDescent="0.25">
      <c r="A12">
        <v>300</v>
      </c>
      <c r="B12">
        <f t="shared" si="2"/>
        <v>8.9759790085714275E-2</v>
      </c>
      <c r="C12">
        <v>116.91</v>
      </c>
      <c r="D12">
        <f t="shared" si="0"/>
        <v>118.53999999999999</v>
      </c>
      <c r="E12">
        <v>156.38</v>
      </c>
      <c r="F12">
        <f t="shared" si="3"/>
        <v>158.76</v>
      </c>
      <c r="H12">
        <v>-121.29</v>
      </c>
      <c r="I12">
        <f t="shared" si="1"/>
        <v>-121.05000000000001</v>
      </c>
      <c r="J12">
        <v>-173.11</v>
      </c>
      <c r="K12">
        <f t="shared" si="4"/>
        <v>-174.37</v>
      </c>
      <c r="L12">
        <f t="shared" si="5"/>
        <v>347.64394401376444</v>
      </c>
      <c r="P12">
        <f t="shared" si="6"/>
        <v>-0.44058087577272431</v>
      </c>
    </row>
    <row r="13" spans="1:17" x14ac:dyDescent="0.25">
      <c r="A13">
        <v>350</v>
      </c>
      <c r="B13">
        <f t="shared" si="2"/>
        <v>0.10471975509999999</v>
      </c>
      <c r="C13">
        <v>175.86</v>
      </c>
      <c r="D13">
        <f t="shared" si="0"/>
        <v>177.49</v>
      </c>
      <c r="E13">
        <v>215.16</v>
      </c>
      <c r="F13">
        <f t="shared" si="3"/>
        <v>217.54</v>
      </c>
      <c r="H13">
        <v>-180.05</v>
      </c>
      <c r="I13">
        <f t="shared" si="1"/>
        <v>-179.81</v>
      </c>
      <c r="J13">
        <v>-231.88</v>
      </c>
      <c r="K13">
        <f t="shared" si="4"/>
        <v>-233.14</v>
      </c>
      <c r="L13">
        <f t="shared" si="5"/>
        <v>405.38671801605847</v>
      </c>
      <c r="P13">
        <f t="shared" si="6"/>
        <v>-0.23407737901285941</v>
      </c>
    </row>
    <row r="14" spans="1:17" x14ac:dyDescent="0.25">
      <c r="A14">
        <v>300</v>
      </c>
      <c r="B14">
        <f t="shared" si="2"/>
        <v>8.9759790085714275E-2</v>
      </c>
      <c r="C14">
        <v>117.31</v>
      </c>
      <c r="D14">
        <f t="shared" si="0"/>
        <v>118.94</v>
      </c>
      <c r="E14">
        <v>156.80000000000001</v>
      </c>
      <c r="F14">
        <f t="shared" si="3"/>
        <v>159.18</v>
      </c>
      <c r="H14">
        <v>-121.35</v>
      </c>
      <c r="I14">
        <f t="shared" si="1"/>
        <v>-121.11</v>
      </c>
      <c r="J14">
        <v>-173.18</v>
      </c>
      <c r="K14">
        <f t="shared" si="4"/>
        <v>-174.44</v>
      </c>
      <c r="L14">
        <f t="shared" si="5"/>
        <v>347.71394401376443</v>
      </c>
      <c r="P14">
        <f t="shared" si="6"/>
        <v>-0.86058087577274023</v>
      </c>
    </row>
    <row r="15" spans="1:17" x14ac:dyDescent="0.25">
      <c r="A15">
        <v>250</v>
      </c>
      <c r="B15">
        <f t="shared" si="2"/>
        <v>7.4799825071428572E-2</v>
      </c>
      <c r="C15">
        <v>57.15</v>
      </c>
      <c r="D15">
        <f t="shared" si="0"/>
        <v>58.78</v>
      </c>
      <c r="E15">
        <v>96.76</v>
      </c>
      <c r="F15">
        <f t="shared" si="3"/>
        <v>99.14</v>
      </c>
      <c r="H15">
        <v>-61.52</v>
      </c>
      <c r="I15">
        <f t="shared" si="1"/>
        <v>-61.28</v>
      </c>
      <c r="J15">
        <v>-113.3</v>
      </c>
      <c r="K15">
        <f t="shared" si="4"/>
        <v>-114.56</v>
      </c>
      <c r="L15">
        <f t="shared" si="5"/>
        <v>288.86117001147034</v>
      </c>
      <c r="P15">
        <f t="shared" si="6"/>
        <v>0.15748431468361446</v>
      </c>
    </row>
    <row r="16" spans="1:17" x14ac:dyDescent="0.25">
      <c r="A16">
        <v>200</v>
      </c>
      <c r="B16">
        <f t="shared" si="2"/>
        <v>5.9839860057142855E-2</v>
      </c>
      <c r="C16">
        <v>-2.82</v>
      </c>
      <c r="D16">
        <f t="shared" si="0"/>
        <v>-1.19</v>
      </c>
      <c r="E16">
        <v>36.92</v>
      </c>
      <c r="F16">
        <f t="shared" si="3"/>
        <v>39.300000000000004</v>
      </c>
      <c r="H16">
        <v>-2.42</v>
      </c>
      <c r="I16">
        <f t="shared" si="1"/>
        <v>-2.1799999999999997</v>
      </c>
      <c r="J16">
        <v>-54.09</v>
      </c>
      <c r="K16">
        <f t="shared" si="4"/>
        <v>-55.35</v>
      </c>
      <c r="L16">
        <f t="shared" si="5"/>
        <v>230.67839600917628</v>
      </c>
      <c r="P16">
        <f t="shared" si="6"/>
        <v>0.95332708766979835</v>
      </c>
    </row>
    <row r="17" spans="1:16" x14ac:dyDescent="0.25">
      <c r="A17">
        <v>150</v>
      </c>
      <c r="B17">
        <f t="shared" si="2"/>
        <v>4.4879895042857137E-2</v>
      </c>
      <c r="C17">
        <v>-61.71</v>
      </c>
      <c r="D17">
        <f t="shared" si="0"/>
        <v>-60.08</v>
      </c>
      <c r="E17">
        <v>-21.86</v>
      </c>
      <c r="F17">
        <f t="shared" si="3"/>
        <v>-19.48</v>
      </c>
      <c r="H17">
        <v>56.29</v>
      </c>
      <c r="I17">
        <f t="shared" si="1"/>
        <v>56.53</v>
      </c>
      <c r="J17">
        <v>4.74</v>
      </c>
      <c r="K17">
        <f t="shared" si="4"/>
        <v>3.4800000000000004</v>
      </c>
      <c r="L17">
        <f t="shared" si="5"/>
        <v>172.87562200688222</v>
      </c>
      <c r="P17">
        <f t="shared" si="6"/>
        <v>0.68016131179622263</v>
      </c>
    </row>
    <row r="18" spans="1:16" x14ac:dyDescent="0.25">
      <c r="A18">
        <v>100</v>
      </c>
      <c r="B18">
        <f t="shared" si="2"/>
        <v>2.9919930028571427E-2</v>
      </c>
      <c r="C18">
        <v>-120.6</v>
      </c>
      <c r="D18">
        <f t="shared" si="0"/>
        <v>-118.97</v>
      </c>
      <c r="E18">
        <v>-80.63</v>
      </c>
      <c r="F18">
        <f t="shared" si="3"/>
        <v>-78.25</v>
      </c>
      <c r="H18">
        <v>114.91</v>
      </c>
      <c r="I18">
        <f t="shared" si="1"/>
        <v>115.14999999999999</v>
      </c>
      <c r="J18">
        <v>63.49</v>
      </c>
      <c r="K18">
        <f t="shared" si="4"/>
        <v>62.230000000000004</v>
      </c>
      <c r="L18">
        <f t="shared" si="5"/>
        <v>115.15284800458814</v>
      </c>
      <c r="P18">
        <f t="shared" si="6"/>
        <v>0.40120287175381009</v>
      </c>
    </row>
    <row r="19" spans="1:16" x14ac:dyDescent="0.25">
      <c r="A19">
        <v>50</v>
      </c>
      <c r="B19">
        <f t="shared" si="2"/>
        <v>1.4959965014285714E-2</v>
      </c>
      <c r="C19">
        <v>-179.04</v>
      </c>
      <c r="D19">
        <f t="shared" si="0"/>
        <v>-177.41</v>
      </c>
      <c r="E19">
        <v>-139.01</v>
      </c>
      <c r="F19">
        <f t="shared" si="3"/>
        <v>-136.63</v>
      </c>
      <c r="H19">
        <v>172.94</v>
      </c>
      <c r="I19">
        <f t="shared" si="1"/>
        <v>173.18</v>
      </c>
      <c r="J19">
        <v>121.64</v>
      </c>
      <c r="K19">
        <f t="shared" si="4"/>
        <v>120.38</v>
      </c>
      <c r="L19">
        <f t="shared" si="5"/>
        <v>58.030074002294072</v>
      </c>
      <c r="P19">
        <f t="shared" si="6"/>
        <v>-0.25033328935305121</v>
      </c>
    </row>
    <row r="20" spans="1:16" x14ac:dyDescent="0.25">
      <c r="A20">
        <v>0</v>
      </c>
      <c r="B20">
        <f t="shared" si="2"/>
        <v>0</v>
      </c>
      <c r="C20">
        <v>-237.24</v>
      </c>
      <c r="D20">
        <f t="shared" si="0"/>
        <v>-235.61</v>
      </c>
      <c r="E20">
        <v>-197.12</v>
      </c>
      <c r="F20">
        <f t="shared" si="3"/>
        <v>-194.74</v>
      </c>
      <c r="H20">
        <v>230.79</v>
      </c>
      <c r="I20">
        <f t="shared" si="1"/>
        <v>231.03</v>
      </c>
      <c r="J20">
        <v>179.65</v>
      </c>
      <c r="K20">
        <f t="shared" si="4"/>
        <v>178.39000000000001</v>
      </c>
      <c r="L20">
        <f t="shared" si="5"/>
        <v>1.0472999999999786</v>
      </c>
      <c r="P20">
        <f t="shared" si="6"/>
        <v>-1.1412361274629461</v>
      </c>
    </row>
    <row r="21" spans="1:16" x14ac:dyDescent="0.25">
      <c r="P21">
        <f>SUMSQ(P7:P20)</f>
        <v>4.224811095021697</v>
      </c>
    </row>
    <row r="22" spans="1:16" x14ac:dyDescent="0.25">
      <c r="D22">
        <f>236.68/68.965</f>
        <v>3.4318857391430435</v>
      </c>
      <c r="F22">
        <f>195.9/68.875</f>
        <v>2.8442831215970963</v>
      </c>
      <c r="I22">
        <f>232.2018/68.554</f>
        <v>3.3871371473582865</v>
      </c>
      <c r="K22">
        <f>179.4373/68.665</f>
        <v>2.6132279909706542</v>
      </c>
      <c r="L22">
        <f>STDEV(L6:L20)</f>
        <v>130.16933811238172</v>
      </c>
    </row>
    <row r="23" spans="1:16" x14ac:dyDescent="0.25">
      <c r="D23" t="s">
        <v>67</v>
      </c>
      <c r="E23">
        <f>D22-F22</f>
        <v>0.58760261754594723</v>
      </c>
      <c r="F23" t="s">
        <v>69</v>
      </c>
      <c r="I23" t="s">
        <v>68</v>
      </c>
      <c r="J23">
        <f>I22-K22</f>
        <v>0.77390915638763236</v>
      </c>
    </row>
    <row r="27" spans="1:16" x14ac:dyDescent="0.25">
      <c r="J27">
        <f>232.2018/3927.8544</f>
        <v>5.9116702492841885E-2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Levashov, Yurii I.</cp:lastModifiedBy>
  <cp:lastPrinted>2015-05-19T22:26:28Z</cp:lastPrinted>
  <dcterms:created xsi:type="dcterms:W3CDTF">2014-03-06T16:53:33Z</dcterms:created>
  <dcterms:modified xsi:type="dcterms:W3CDTF">2015-05-20T17:53:30Z</dcterms:modified>
</cp:coreProperties>
</file>