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2995" windowHeight="11505"/>
  </bookViews>
  <sheets>
    <sheet name="16MAR2017" sheetId="1" r:id="rId1"/>
    <sheet name="Optical Tooling" sheetId="4" r:id="rId2"/>
    <sheet name="PMs" sheetId="5" r:id="rId3"/>
  </sheets>
  <calcPr calcId="145621"/>
</workbook>
</file>

<file path=xl/calcChain.xml><?xml version="1.0" encoding="utf-8"?>
<calcChain xmlns="http://schemas.openxmlformats.org/spreadsheetml/2006/main">
  <c r="U37" i="1" l="1"/>
  <c r="U36" i="1"/>
  <c r="T37" i="1"/>
  <c r="T36" i="1"/>
  <c r="U29" i="1"/>
  <c r="U30" i="1"/>
  <c r="U31" i="1"/>
  <c r="U32" i="1"/>
  <c r="U33" i="1"/>
  <c r="U34" i="1"/>
  <c r="U35" i="1"/>
  <c r="R12" i="1"/>
  <c r="U28" i="1" s="1"/>
  <c r="T29" i="1"/>
  <c r="T30" i="1"/>
  <c r="T31" i="1"/>
  <c r="T32" i="1"/>
  <c r="T33" i="1"/>
  <c r="T34" i="1"/>
  <c r="T35" i="1"/>
  <c r="T28" i="1"/>
  <c r="Q12" i="1"/>
  <c r="F5" i="5"/>
  <c r="F6" i="5"/>
  <c r="F7" i="5"/>
  <c r="F4" i="5"/>
  <c r="I29" i="5"/>
  <c r="I30" i="5"/>
  <c r="I31" i="5"/>
  <c r="I28" i="5"/>
  <c r="E29" i="5"/>
  <c r="E30" i="5"/>
  <c r="E31" i="5"/>
  <c r="E28" i="5"/>
  <c r="I19" i="5"/>
  <c r="I20" i="5"/>
  <c r="I21" i="5"/>
  <c r="I18" i="5"/>
  <c r="H18" i="5"/>
  <c r="E18" i="5"/>
  <c r="I4" i="5"/>
  <c r="I5" i="5"/>
  <c r="H5" i="5"/>
  <c r="H6" i="5"/>
  <c r="H7" i="5"/>
  <c r="H4" i="5"/>
  <c r="H19" i="5"/>
  <c r="H20" i="5"/>
  <c r="H21" i="5"/>
  <c r="D18" i="5"/>
  <c r="D19" i="5"/>
  <c r="E19" i="5" s="1"/>
  <c r="G5" i="5"/>
  <c r="G6" i="5"/>
  <c r="I6" i="5" s="1"/>
  <c r="G7" i="5"/>
  <c r="I7" i="5" s="1"/>
  <c r="G4" i="5"/>
  <c r="R29" i="1"/>
  <c r="R30" i="1"/>
  <c r="R31" i="1"/>
  <c r="R32" i="1"/>
  <c r="R33" i="1"/>
  <c r="R34" i="1"/>
  <c r="R35" i="1"/>
  <c r="R28" i="1"/>
  <c r="Q29" i="1"/>
  <c r="Q30" i="1"/>
  <c r="Q31" i="1"/>
  <c r="Q32" i="1"/>
  <c r="Q33" i="1"/>
  <c r="Q34" i="1"/>
  <c r="Q35" i="1"/>
  <c r="Q28" i="1"/>
  <c r="Q5" i="1" l="1"/>
  <c r="R5" i="1"/>
  <c r="V35" i="4" l="1"/>
  <c r="U36" i="4"/>
  <c r="V11" i="4"/>
  <c r="R36" i="4"/>
  <c r="S35" i="4"/>
  <c r="S21" i="4"/>
  <c r="V21" i="4" s="1"/>
  <c r="S22" i="4"/>
  <c r="V22" i="4" s="1"/>
  <c r="S23" i="4"/>
  <c r="V23" i="4" s="1"/>
  <c r="R24" i="4"/>
  <c r="U24" i="4" s="1"/>
  <c r="R25" i="4"/>
  <c r="U25" i="4" s="1"/>
  <c r="R26" i="4"/>
  <c r="U26" i="4" s="1"/>
  <c r="R27" i="4"/>
  <c r="U27" i="4" s="1"/>
  <c r="S20" i="4"/>
  <c r="V20" i="4" s="1"/>
  <c r="S11" i="4"/>
  <c r="R12" i="4"/>
  <c r="U12" i="4" s="1"/>
  <c r="P38" i="1"/>
  <c r="P29" i="1"/>
  <c r="P30" i="1"/>
  <c r="P31" i="1"/>
  <c r="P32" i="1"/>
  <c r="P33" i="1"/>
  <c r="P34" i="1"/>
  <c r="P35" i="1"/>
  <c r="P28" i="1"/>
  <c r="P5" i="1"/>
  <c r="O16" i="4"/>
  <c r="K27" i="4"/>
  <c r="O27" i="4" s="1"/>
  <c r="K26" i="4"/>
  <c r="K25" i="4"/>
  <c r="K24" i="4"/>
  <c r="O24" i="4"/>
  <c r="O25" i="4"/>
  <c r="O26" i="4"/>
  <c r="O31" i="4"/>
  <c r="O36" i="4"/>
  <c r="O12" i="4"/>
  <c r="P11" i="4"/>
  <c r="G23" i="4"/>
  <c r="G22" i="4"/>
  <c r="G21" i="4"/>
  <c r="G20" i="4"/>
  <c r="P15" i="4"/>
  <c r="P20" i="4"/>
  <c r="P21" i="4"/>
  <c r="P22" i="4"/>
  <c r="P23" i="4"/>
  <c r="P30" i="4"/>
  <c r="P35" i="4"/>
  <c r="R38" i="1"/>
  <c r="Q38" i="1"/>
  <c r="F35" i="4" l="1"/>
  <c r="F31" i="4"/>
  <c r="F30" i="4"/>
  <c r="F27" i="4"/>
  <c r="F26" i="4"/>
  <c r="F25" i="4"/>
  <c r="F24" i="4"/>
  <c r="F23" i="4"/>
  <c r="F22" i="4"/>
  <c r="F21" i="4"/>
  <c r="F20" i="4"/>
  <c r="F16" i="4"/>
  <c r="F15" i="4"/>
  <c r="F11" i="4"/>
  <c r="E35" i="4"/>
  <c r="E31" i="4"/>
  <c r="E30" i="4"/>
  <c r="E27" i="4"/>
  <c r="E26" i="4"/>
  <c r="E25" i="4"/>
  <c r="E24" i="4"/>
  <c r="E23" i="4"/>
  <c r="E22" i="4"/>
  <c r="E21" i="4"/>
  <c r="E20" i="4"/>
  <c r="E16" i="4"/>
  <c r="E15" i="4"/>
  <c r="E11" i="4"/>
  <c r="E7" i="4"/>
  <c r="E5" i="4"/>
</calcChain>
</file>

<file path=xl/sharedStrings.xml><?xml version="1.0" encoding="utf-8"?>
<sst xmlns="http://schemas.openxmlformats.org/spreadsheetml/2006/main" count="192" uniqueCount="74">
  <si>
    <t>PM10 Measure</t>
  </si>
  <si>
    <t>TB1</t>
  </si>
  <si>
    <t>TB2</t>
  </si>
  <si>
    <t>TB3</t>
  </si>
  <si>
    <t>TB4</t>
  </si>
  <si>
    <t>TB1ck</t>
  </si>
  <si>
    <t>M</t>
  </si>
  <si>
    <t>Y1</t>
  </si>
  <si>
    <t>Y2</t>
  </si>
  <si>
    <t>X1</t>
  </si>
  <si>
    <t>SXR Undulator Measure</t>
  </si>
  <si>
    <t>TB5</t>
  </si>
  <si>
    <t>TB6</t>
  </si>
  <si>
    <t>TB7</t>
  </si>
  <si>
    <t>TB8</t>
  </si>
  <si>
    <t>PM11 Measure</t>
  </si>
  <si>
    <t>PM11 Midpoint Calc</t>
  </si>
  <si>
    <t>PM10 Nominal</t>
  </si>
  <si>
    <t>SXR Undulator Nominals</t>
  </si>
  <si>
    <t>USY1</t>
  </si>
  <si>
    <t>USY2</t>
  </si>
  <si>
    <t>USX</t>
  </si>
  <si>
    <t>DSY1</t>
  </si>
  <si>
    <t>DSY2</t>
  </si>
  <si>
    <t>DSX</t>
  </si>
  <si>
    <t>PM11 Nominal</t>
  </si>
  <si>
    <t>SXR Reference Undulator</t>
  </si>
  <si>
    <t>H. Imfeld</t>
  </si>
  <si>
    <t>B. Rutledge</t>
  </si>
  <si>
    <t>Z</t>
  </si>
  <si>
    <t>X</t>
  </si>
  <si>
    <t>Y</t>
  </si>
  <si>
    <t>metres</t>
  </si>
  <si>
    <t>Ganite Top</t>
  </si>
  <si>
    <t>DSmx</t>
  </si>
  <si>
    <t>DSpx</t>
  </si>
  <si>
    <t>Usmx</t>
  </si>
  <si>
    <t>Uspx</t>
  </si>
  <si>
    <t>PM10</t>
  </si>
  <si>
    <t>PM2</t>
  </si>
  <si>
    <t>UND</t>
  </si>
  <si>
    <t>PM3</t>
  </si>
  <si>
    <t>PM11</t>
  </si>
  <si>
    <t>Inches</t>
  </si>
  <si>
    <t>Z location (m)</t>
  </si>
  <si>
    <t>Pitch Corrected</t>
  </si>
  <si>
    <t>PM10 Midpoint Calc (set as origin)</t>
  </si>
  <si>
    <t>HI</t>
  </si>
  <si>
    <t>BR</t>
  </si>
  <si>
    <t>Nominal (mm)</t>
  </si>
  <si>
    <t>PM10 Delta</t>
  </si>
  <si>
    <t>[mm]</t>
  </si>
  <si>
    <t>Delta Optical Tooling</t>
  </si>
  <si>
    <t>dX</t>
  </si>
  <si>
    <t>dY</t>
  </si>
  <si>
    <t>dZ</t>
  </si>
  <si>
    <t>Delta Laser Tracker</t>
  </si>
  <si>
    <t>Optical-Laser Tracker</t>
  </si>
  <si>
    <t>Calibration</t>
  </si>
  <si>
    <t>Meas</t>
  </si>
  <si>
    <t>x</t>
  </si>
  <si>
    <t>y</t>
  </si>
  <si>
    <t>MA</t>
  </si>
  <si>
    <t>to MA</t>
  </si>
  <si>
    <t>Hall Probe</t>
  </si>
  <si>
    <t>Optical</t>
  </si>
  <si>
    <t>mm</t>
  </si>
  <si>
    <t>in1</t>
  </si>
  <si>
    <t>in2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</si>
  <si>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</rPr>
      <t>x</t>
    </r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</si>
  <si>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</rPr>
      <t>y</t>
    </r>
  </si>
  <si>
    <t>LT</t>
  </si>
  <si>
    <t>RMS</t>
  </si>
  <si>
    <t>Avrg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</si>
</sst>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"/>
      <family val="2"/>
    </font>
    <font>
      <b/>
      <sz val="10"/>
      <color indexed="16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2" fillId="3" borderId="1" applyNumberFormat="0" applyFont="0" applyAlignment="0" applyProtection="0"/>
  </cellStyleXfs>
  <cellXfs count="30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0" fillId="0" borderId="0" xfId="0" applyNumberFormat="1" applyAlignment="1">
      <alignment horizontal="center"/>
    </xf>
    <xf numFmtId="165" fontId="1" fillId="0" borderId="0" xfId="0" applyNumberFormat="1" applyFont="1"/>
    <xf numFmtId="165" fontId="0" fillId="0" borderId="0" xfId="0" applyNumberFormat="1" applyFont="1"/>
    <xf numFmtId="0" fontId="4" fillId="0" borderId="0" xfId="0" applyFont="1"/>
    <xf numFmtId="0" fontId="5" fillId="0" borderId="2" xfId="0" applyFont="1" applyBorder="1"/>
    <xf numFmtId="0" fontId="5" fillId="0" borderId="3" xfId="0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165" fontId="6" fillId="0" borderId="2" xfId="0" applyNumberFormat="1" applyFont="1" applyBorder="1"/>
    <xf numFmtId="165" fontId="6" fillId="0" borderId="3" xfId="0" applyNumberFormat="1" applyFont="1" applyBorder="1"/>
    <xf numFmtId="0" fontId="5" fillId="0" borderId="4" xfId="0" applyFont="1" applyBorder="1"/>
    <xf numFmtId="0" fontId="5" fillId="0" borderId="5" xfId="0" applyFont="1" applyBorder="1"/>
    <xf numFmtId="164" fontId="4" fillId="0" borderId="4" xfId="0" applyNumberFormat="1" applyFont="1" applyBorder="1"/>
    <xf numFmtId="164" fontId="4" fillId="0" borderId="5" xfId="0" applyNumberFormat="1" applyFont="1" applyBorder="1"/>
    <xf numFmtId="0" fontId="5" fillId="0" borderId="6" xfId="0" applyFont="1" applyBorder="1"/>
    <xf numFmtId="0" fontId="5" fillId="0" borderId="7" xfId="0" applyFont="1" applyBorder="1"/>
    <xf numFmtId="164" fontId="4" fillId="0" borderId="6" xfId="0" applyNumberFormat="1" applyFont="1" applyBorder="1"/>
    <xf numFmtId="164" fontId="4" fillId="0" borderId="7" xfId="0" applyNumberFormat="1" applyFont="1" applyBorder="1"/>
    <xf numFmtId="0" fontId="4" fillId="0" borderId="0" xfId="0" applyFont="1" applyAlignment="1">
      <alignment horizontal="center"/>
    </xf>
    <xf numFmtId="164" fontId="4" fillId="0" borderId="8" xfId="0" applyNumberFormat="1" applyFont="1" applyBorder="1"/>
    <xf numFmtId="164" fontId="4" fillId="0" borderId="9" xfId="0" applyNumberFormat="1" applyFont="1" applyBorder="1"/>
    <xf numFmtId="0" fontId="4" fillId="0" borderId="0" xfId="0" applyFont="1" applyFill="1" applyBorder="1"/>
    <xf numFmtId="0" fontId="1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0" fillId="3" borderId="1" xfId="2" applyNumberFormat="1" applyFont="1"/>
    <xf numFmtId="165" fontId="3" fillId="2" borderId="0" xfId="1" applyNumberFormat="1"/>
  </cellXfs>
  <cellStyles count="3">
    <cellStyle name="Good" xfId="1" builtinId="26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topLeftCell="A16" workbookViewId="0">
      <selection activeCell="W23" sqref="W23"/>
    </sheetView>
  </sheetViews>
  <sheetFormatPr defaultRowHeight="15" x14ac:dyDescent="0.25"/>
  <cols>
    <col min="3" max="5" width="10.28515625" style="1" bestFit="1" customWidth="1"/>
    <col min="16" max="16" width="9.140625" customWidth="1"/>
    <col min="17" max="17" width="9.5703125" bestFit="1" customWidth="1"/>
  </cols>
  <sheetData>
    <row r="1" spans="1:18" x14ac:dyDescent="0.25">
      <c r="A1" t="s">
        <v>26</v>
      </c>
      <c r="G1" t="s">
        <v>27</v>
      </c>
    </row>
    <row r="2" spans="1:18" x14ac:dyDescent="0.25">
      <c r="G2" t="s">
        <v>28</v>
      </c>
    </row>
    <row r="3" spans="1:18" x14ac:dyDescent="0.25">
      <c r="C3" s="1" t="s">
        <v>32</v>
      </c>
      <c r="I3" t="s">
        <v>32</v>
      </c>
      <c r="P3" t="s">
        <v>32</v>
      </c>
    </row>
    <row r="4" spans="1:18" x14ac:dyDescent="0.25">
      <c r="A4" t="s">
        <v>0</v>
      </c>
      <c r="C4" s="3" t="s">
        <v>29</v>
      </c>
      <c r="D4" s="3" t="s">
        <v>30</v>
      </c>
      <c r="E4" s="3" t="s">
        <v>31</v>
      </c>
      <c r="G4" t="s">
        <v>17</v>
      </c>
      <c r="I4" s="3" t="s">
        <v>29</v>
      </c>
      <c r="J4" s="3" t="s">
        <v>30</v>
      </c>
      <c r="K4" s="3" t="s">
        <v>31</v>
      </c>
      <c r="N4" t="s">
        <v>50</v>
      </c>
      <c r="P4" s="3" t="s">
        <v>55</v>
      </c>
      <c r="Q4" s="3" t="s">
        <v>30</v>
      </c>
      <c r="R4" s="3" t="s">
        <v>31</v>
      </c>
    </row>
    <row r="5" spans="1:18" x14ac:dyDescent="0.25">
      <c r="B5" t="s">
        <v>1</v>
      </c>
      <c r="C5" s="1">
        <v>8.0800000000000002E-4</v>
      </c>
      <c r="D5" s="1">
        <v>4.5565000000000001E-2</v>
      </c>
      <c r="E5" s="1">
        <v>0.104599</v>
      </c>
      <c r="G5" t="s">
        <v>6</v>
      </c>
      <c r="I5" s="1">
        <v>0</v>
      </c>
      <c r="J5" s="1">
        <v>0</v>
      </c>
      <c r="K5" s="1">
        <v>0</v>
      </c>
      <c r="P5" s="2">
        <f>(C12-I5)*1000</f>
        <v>0</v>
      </c>
      <c r="Q5" s="2">
        <f>J5</f>
        <v>0</v>
      </c>
      <c r="R5" s="2">
        <f>E12-K5</f>
        <v>0</v>
      </c>
    </row>
    <row r="6" spans="1:18" x14ac:dyDescent="0.25">
      <c r="B6" t="s">
        <v>2</v>
      </c>
      <c r="C6" s="1">
        <v>-2.3599999999999999E-4</v>
      </c>
      <c r="D6" s="1">
        <v>-4.9568000000000001E-2</v>
      </c>
      <c r="E6" s="1">
        <v>0.10453800000000001</v>
      </c>
      <c r="G6" t="s">
        <v>7</v>
      </c>
      <c r="I6" s="1">
        <v>0</v>
      </c>
      <c r="J6" s="1">
        <v>6.3E-5</v>
      </c>
      <c r="K6" s="1">
        <v>9.3987000000000001E-2</v>
      </c>
      <c r="Q6" s="2"/>
      <c r="R6" s="2"/>
    </row>
    <row r="7" spans="1:18" x14ac:dyDescent="0.25">
      <c r="B7" t="s">
        <v>3</v>
      </c>
      <c r="C7" s="1">
        <v>-1.031E-3</v>
      </c>
      <c r="D7" s="1">
        <v>-0.104891</v>
      </c>
      <c r="E7" s="1">
        <v>4.9146000000000002E-2</v>
      </c>
      <c r="G7" t="s">
        <v>8</v>
      </c>
      <c r="I7" s="1">
        <v>0</v>
      </c>
      <c r="J7" s="1">
        <v>6.3E-5</v>
      </c>
      <c r="K7" s="1">
        <v>-9.3997999999999998E-2</v>
      </c>
      <c r="Q7" s="2"/>
      <c r="R7" s="2"/>
    </row>
    <row r="8" spans="1:18" x14ac:dyDescent="0.25">
      <c r="B8" t="s">
        <v>4</v>
      </c>
      <c r="C8" s="1">
        <v>-1.4859999999999999E-3</v>
      </c>
      <c r="D8" s="1">
        <v>-0.10440199999999999</v>
      </c>
      <c r="E8" s="1">
        <v>-4.9586999999999999E-2</v>
      </c>
      <c r="G8" t="s">
        <v>9</v>
      </c>
      <c r="I8" s="1">
        <v>0</v>
      </c>
      <c r="J8" s="1">
        <v>-9.3894000000000005E-2</v>
      </c>
      <c r="K8" s="1">
        <v>-7.9999999999999996E-6</v>
      </c>
      <c r="Q8" s="2"/>
      <c r="R8" s="2"/>
    </row>
    <row r="9" spans="1:18" x14ac:dyDescent="0.25">
      <c r="B9" t="s">
        <v>5</v>
      </c>
      <c r="C9" s="1">
        <v>8.12E-4</v>
      </c>
      <c r="D9" s="1">
        <v>4.5585000000000001E-2</v>
      </c>
      <c r="E9" s="1">
        <v>0.104592</v>
      </c>
      <c r="G9" t="s">
        <v>1</v>
      </c>
      <c r="I9" s="1">
        <v>8.5000000000000006E-5</v>
      </c>
      <c r="J9" s="1">
        <v>4.5697000000000002E-2</v>
      </c>
      <c r="K9" s="1">
        <v>0.104559</v>
      </c>
      <c r="Q9" s="2"/>
      <c r="R9" s="2"/>
    </row>
    <row r="10" spans="1:18" x14ac:dyDescent="0.25">
      <c r="G10" t="s">
        <v>2</v>
      </c>
      <c r="I10" s="1">
        <v>1.6200000000000001E-4</v>
      </c>
      <c r="J10" s="1">
        <v>-4.9461999999999999E-2</v>
      </c>
      <c r="K10" s="1">
        <v>0.104572</v>
      </c>
      <c r="Q10" s="2"/>
      <c r="R10" s="2"/>
    </row>
    <row r="11" spans="1:18" x14ac:dyDescent="0.25">
      <c r="A11" t="s">
        <v>46</v>
      </c>
      <c r="G11" t="s">
        <v>3</v>
      </c>
      <c r="I11" s="1">
        <v>1.0900000000000001E-4</v>
      </c>
      <c r="J11" s="1">
        <v>-0.104852</v>
      </c>
      <c r="K11" s="1">
        <v>4.9258000000000003E-2</v>
      </c>
      <c r="Q11" s="2"/>
      <c r="R11" s="2"/>
    </row>
    <row r="12" spans="1:18" x14ac:dyDescent="0.25">
      <c r="B12" t="s">
        <v>6</v>
      </c>
      <c r="C12" s="1">
        <v>0</v>
      </c>
      <c r="D12" s="1">
        <v>0</v>
      </c>
      <c r="E12" s="1">
        <v>0</v>
      </c>
      <c r="G12" t="s">
        <v>4</v>
      </c>
      <c r="I12" s="1">
        <v>-1.7100000000000001E-4</v>
      </c>
      <c r="J12" s="1">
        <v>-0.104463</v>
      </c>
      <c r="K12" s="1">
        <v>-4.9464000000000001E-2</v>
      </c>
      <c r="Q12" s="2">
        <f>120.329-93.894+0.2</f>
        <v>26.634999999999987</v>
      </c>
      <c r="R12" s="2">
        <f>94.814-93.987+0.15</f>
        <v>0.9769999999999982</v>
      </c>
    </row>
    <row r="13" spans="1:18" x14ac:dyDescent="0.25">
      <c r="B13" t="s">
        <v>7</v>
      </c>
      <c r="C13" s="1">
        <v>1.6799999999999999E-4</v>
      </c>
      <c r="D13" s="1">
        <v>-3.8999999999999999E-5</v>
      </c>
      <c r="E13" s="1">
        <v>9.3987000000000001E-2</v>
      </c>
      <c r="I13" s="1"/>
      <c r="J13" s="1"/>
      <c r="K13" s="1"/>
      <c r="Q13" s="2"/>
      <c r="R13" s="2"/>
    </row>
    <row r="14" spans="1:18" x14ac:dyDescent="0.25">
      <c r="B14" t="s">
        <v>8</v>
      </c>
      <c r="C14" s="1">
        <v>-1.66E-4</v>
      </c>
      <c r="D14" s="1">
        <v>1.65E-4</v>
      </c>
      <c r="E14" s="1">
        <v>-9.3997999999999998E-2</v>
      </c>
      <c r="I14" s="1"/>
      <c r="J14" s="1"/>
      <c r="K14" s="1"/>
      <c r="Q14" s="2"/>
      <c r="R14" s="2"/>
    </row>
    <row r="15" spans="1:18" x14ac:dyDescent="0.25">
      <c r="B15" t="s">
        <v>9</v>
      </c>
      <c r="C15" s="1">
        <v>-1.1019999999999999E-3</v>
      </c>
      <c r="D15" s="1">
        <v>-9.3886999999999998E-2</v>
      </c>
      <c r="E15" s="1">
        <v>-1.08E-4</v>
      </c>
      <c r="I15" s="1"/>
      <c r="J15" s="1"/>
      <c r="K15" s="1"/>
      <c r="Q15" s="2"/>
      <c r="R15" s="2"/>
    </row>
    <row r="16" spans="1:18" x14ac:dyDescent="0.25">
      <c r="B16" t="s">
        <v>1</v>
      </c>
      <c r="C16" s="1">
        <v>8.0699999999999999E-4</v>
      </c>
      <c r="D16" s="1">
        <v>4.5579000000000001E-2</v>
      </c>
      <c r="E16" s="1">
        <v>0.10460700000000001</v>
      </c>
      <c r="I16" s="1"/>
      <c r="J16" s="1"/>
      <c r="K16" s="1"/>
      <c r="Q16" s="2"/>
      <c r="R16" s="2"/>
    </row>
    <row r="17" spans="1:21" x14ac:dyDescent="0.25">
      <c r="B17" t="s">
        <v>2</v>
      </c>
      <c r="C17" s="1">
        <v>-2.33E-4</v>
      </c>
      <c r="D17" s="1">
        <v>-4.9574E-2</v>
      </c>
      <c r="E17" s="1">
        <v>0.104519</v>
      </c>
      <c r="I17" s="1"/>
      <c r="J17" s="1"/>
      <c r="K17" s="1"/>
      <c r="Q17" s="2"/>
      <c r="R17" s="2"/>
    </row>
    <row r="18" spans="1:21" x14ac:dyDescent="0.25">
      <c r="B18" t="s">
        <v>3</v>
      </c>
      <c r="C18" s="1">
        <v>-1.034E-3</v>
      </c>
      <c r="D18" s="1">
        <v>-0.10489999999999999</v>
      </c>
      <c r="E18" s="1">
        <v>4.9146000000000002E-2</v>
      </c>
      <c r="I18" s="1"/>
      <c r="J18" s="1"/>
      <c r="K18" s="1"/>
      <c r="Q18" s="2"/>
      <c r="R18" s="2"/>
    </row>
    <row r="19" spans="1:21" x14ac:dyDescent="0.25">
      <c r="B19" t="s">
        <v>4</v>
      </c>
      <c r="C19" s="1">
        <v>-1.485E-3</v>
      </c>
      <c r="D19" s="1">
        <v>-0.10440000000000001</v>
      </c>
      <c r="E19" s="1">
        <v>-4.9575000000000001E-2</v>
      </c>
      <c r="I19" s="1"/>
      <c r="J19" s="1"/>
      <c r="K19" s="1"/>
      <c r="Q19" s="2"/>
      <c r="R19" s="2"/>
    </row>
    <row r="20" spans="1:21" x14ac:dyDescent="0.25">
      <c r="I20" s="1"/>
      <c r="J20" s="1"/>
      <c r="K20" s="1"/>
      <c r="Q20" s="2"/>
      <c r="R20" s="2"/>
    </row>
    <row r="21" spans="1:21" x14ac:dyDescent="0.25">
      <c r="A21" t="s">
        <v>10</v>
      </c>
      <c r="G21" t="s">
        <v>18</v>
      </c>
      <c r="I21" s="1"/>
      <c r="J21" s="1"/>
      <c r="K21" s="1"/>
      <c r="Q21" s="2"/>
      <c r="R21" s="2"/>
    </row>
    <row r="22" spans="1:21" x14ac:dyDescent="0.25">
      <c r="B22" t="s">
        <v>1</v>
      </c>
      <c r="C22" s="1">
        <v>4.3700970000000003</v>
      </c>
      <c r="D22" s="1">
        <v>2.6481000000000001E-2</v>
      </c>
      <c r="E22" s="1">
        <v>0.17884900000000001</v>
      </c>
      <c r="G22" t="s">
        <v>19</v>
      </c>
      <c r="I22" s="1">
        <v>1.804316</v>
      </c>
      <c r="J22" s="1">
        <v>-2.8200000000000002E-4</v>
      </c>
      <c r="K22" s="1">
        <v>-9.1340000000000005E-2</v>
      </c>
      <c r="Q22" s="2"/>
      <c r="R22" s="2"/>
    </row>
    <row r="23" spans="1:21" x14ac:dyDescent="0.25">
      <c r="B23" t="s">
        <v>2</v>
      </c>
      <c r="C23" s="1">
        <v>3.3964799999999999</v>
      </c>
      <c r="D23" s="1">
        <v>2.6356999999999998E-2</v>
      </c>
      <c r="E23" s="1">
        <v>0.17876800000000001</v>
      </c>
      <c r="G23" t="s">
        <v>20</v>
      </c>
      <c r="I23" s="1">
        <v>1.804343</v>
      </c>
      <c r="J23" s="1">
        <v>-2.9E-4</v>
      </c>
      <c r="K23" s="1">
        <v>9.1499999999999998E-2</v>
      </c>
      <c r="Q23" s="2"/>
      <c r="R23" s="2"/>
    </row>
    <row r="24" spans="1:21" x14ac:dyDescent="0.25">
      <c r="B24" t="s">
        <v>3</v>
      </c>
      <c r="C24" s="1">
        <v>2.2204380000000001</v>
      </c>
      <c r="D24" s="1">
        <v>2.6244E-2</v>
      </c>
      <c r="E24" s="1">
        <v>0.17882899999999999</v>
      </c>
      <c r="G24" t="s">
        <v>21</v>
      </c>
      <c r="I24" s="1">
        <v>1.80436</v>
      </c>
      <c r="J24" s="1">
        <v>-9.1605000000000006E-2</v>
      </c>
      <c r="K24" s="1">
        <v>3.9999999999999998E-6</v>
      </c>
      <c r="Q24" s="2"/>
      <c r="R24" s="2"/>
    </row>
    <row r="25" spans="1:21" x14ac:dyDescent="0.25">
      <c r="B25" t="s">
        <v>4</v>
      </c>
      <c r="C25" s="1">
        <v>1.249625</v>
      </c>
      <c r="D25" s="1">
        <v>2.6425000000000001E-2</v>
      </c>
      <c r="E25" s="1">
        <v>0.178896</v>
      </c>
      <c r="G25" t="s">
        <v>22</v>
      </c>
      <c r="I25" s="1">
        <v>-1.805097</v>
      </c>
      <c r="J25" s="1">
        <v>-2.9799999999999998E-4</v>
      </c>
      <c r="K25" s="1">
        <v>9.1446E-2</v>
      </c>
      <c r="Q25" s="2"/>
      <c r="R25" s="2"/>
    </row>
    <row r="26" spans="1:21" x14ac:dyDescent="0.25">
      <c r="B26" t="s">
        <v>11</v>
      </c>
      <c r="C26" s="1">
        <v>4.3700390000000002</v>
      </c>
      <c r="D26" s="1">
        <v>-0.22203100000000001</v>
      </c>
      <c r="E26" s="1">
        <v>-9.7300000000000002E-4</v>
      </c>
      <c r="G26" t="s">
        <v>23</v>
      </c>
      <c r="I26" s="1">
        <v>-1.805158</v>
      </c>
      <c r="J26" s="1">
        <v>-2.63E-4</v>
      </c>
      <c r="K26" s="1">
        <v>-9.1423000000000004E-2</v>
      </c>
      <c r="Q26" s="2"/>
      <c r="R26" s="2"/>
    </row>
    <row r="27" spans="1:21" x14ac:dyDescent="0.25">
      <c r="B27" t="s">
        <v>12</v>
      </c>
      <c r="C27" s="1">
        <v>3.3964270000000001</v>
      </c>
      <c r="D27" s="1">
        <v>-0.22195899999999999</v>
      </c>
      <c r="E27" s="1">
        <v>-9.77E-4</v>
      </c>
      <c r="G27" t="s">
        <v>24</v>
      </c>
      <c r="I27" s="1">
        <v>-1.805113</v>
      </c>
      <c r="J27" s="1">
        <v>-9.1607999999999995E-2</v>
      </c>
      <c r="K27" s="1">
        <v>6.0000000000000002E-6</v>
      </c>
      <c r="Q27" s="2"/>
      <c r="R27" s="2"/>
      <c r="T27" s="27" t="s">
        <v>60</v>
      </c>
      <c r="U27" s="27" t="s">
        <v>61</v>
      </c>
    </row>
    <row r="28" spans="1:21" x14ac:dyDescent="0.25">
      <c r="B28" t="s">
        <v>13</v>
      </c>
      <c r="C28" s="1">
        <v>2.2203729999999999</v>
      </c>
      <c r="D28" s="1">
        <v>-0.221971</v>
      </c>
      <c r="E28" s="1">
        <v>-9.9400000000000009E-4</v>
      </c>
      <c r="G28" t="s">
        <v>1</v>
      </c>
      <c r="I28" s="1">
        <v>1.5582549999999999</v>
      </c>
      <c r="J28" s="1">
        <v>-1.1900000000000001E-4</v>
      </c>
      <c r="K28" s="1">
        <v>0.17983199999999999</v>
      </c>
      <c r="P28" s="2">
        <f>(C22-I28)*1000</f>
        <v>2811.8420000000006</v>
      </c>
      <c r="Q28" s="2">
        <f>(D22-J28)*1000-Q$5</f>
        <v>26.6</v>
      </c>
      <c r="R28" s="4">
        <f>(E22-K28)*1000+R$5</f>
        <v>-0.98299999999998389</v>
      </c>
      <c r="T28" s="2">
        <f>Q28-Q$12</f>
        <v>-3.4999999999985931E-2</v>
      </c>
      <c r="U28" s="29">
        <f>R28+R$12</f>
        <v>-5.9999999999856835E-3</v>
      </c>
    </row>
    <row r="29" spans="1:21" x14ac:dyDescent="0.25">
      <c r="B29" t="s">
        <v>14</v>
      </c>
      <c r="C29" s="1">
        <v>1.249555</v>
      </c>
      <c r="D29" s="1">
        <v>-0.221858</v>
      </c>
      <c r="E29" s="1">
        <v>-9.6699999999999998E-4</v>
      </c>
      <c r="G29" t="s">
        <v>2</v>
      </c>
      <c r="I29" s="1">
        <v>0.58463299999999996</v>
      </c>
      <c r="J29" s="1">
        <v>-2.4899999999999998E-4</v>
      </c>
      <c r="K29" s="1">
        <v>0.17974699999999999</v>
      </c>
      <c r="P29" s="2">
        <f t="shared" ref="P29:P35" si="0">(C23-I29)*1000</f>
        <v>2811.8470000000002</v>
      </c>
      <c r="Q29" s="2">
        <f t="shared" ref="Q29:Q35" si="1">(D23-J29)*1000-Q$5</f>
        <v>26.605999999999998</v>
      </c>
      <c r="R29" s="4">
        <f t="shared" ref="R29:R35" si="2">(E23-K29)*1000+R$5</f>
        <v>-0.97899999999997989</v>
      </c>
      <c r="T29" s="2">
        <f t="shared" ref="T29:T35" si="3">Q29-Q$12</f>
        <v>-2.8999999999989257E-2</v>
      </c>
      <c r="U29" s="29">
        <f t="shared" ref="U29:U35" si="4">R29+R$12</f>
        <v>-1.9999999999816831E-3</v>
      </c>
    </row>
    <row r="30" spans="1:21" x14ac:dyDescent="0.25">
      <c r="G30" t="s">
        <v>3</v>
      </c>
      <c r="I30" s="1">
        <v>-0.59143900000000005</v>
      </c>
      <c r="J30" s="1">
        <v>-3.6699999999999998E-4</v>
      </c>
      <c r="K30" s="1">
        <v>0.17979200000000001</v>
      </c>
      <c r="P30" s="2">
        <f t="shared" si="0"/>
        <v>2811.877</v>
      </c>
      <c r="Q30" s="2">
        <f t="shared" si="1"/>
        <v>26.611000000000001</v>
      </c>
      <c r="R30" s="4">
        <f t="shared" si="2"/>
        <v>-0.9630000000000194</v>
      </c>
      <c r="T30" s="2">
        <f t="shared" si="3"/>
        <v>-2.3999999999986699E-2</v>
      </c>
      <c r="U30" s="29">
        <f t="shared" si="4"/>
        <v>1.3999999999978807E-2</v>
      </c>
    </row>
    <row r="31" spans="1:21" x14ac:dyDescent="0.25">
      <c r="A31" t="s">
        <v>15</v>
      </c>
      <c r="G31" t="s">
        <v>4</v>
      </c>
      <c r="I31" s="1">
        <v>-1.562235</v>
      </c>
      <c r="J31" s="1">
        <v>-1.8699999999999999E-4</v>
      </c>
      <c r="K31" s="1">
        <v>0.179867</v>
      </c>
      <c r="P31" s="2">
        <f t="shared" si="0"/>
        <v>2811.86</v>
      </c>
      <c r="Q31" s="2">
        <f t="shared" si="1"/>
        <v>26.612000000000002</v>
      </c>
      <c r="R31" s="4">
        <f t="shared" si="2"/>
        <v>-0.97099999999999964</v>
      </c>
      <c r="T31" s="2">
        <f t="shared" si="3"/>
        <v>-2.2999999999985477E-2</v>
      </c>
      <c r="U31" s="29">
        <f t="shared" si="4"/>
        <v>5.999999999998562E-3</v>
      </c>
    </row>
    <row r="32" spans="1:21" x14ac:dyDescent="0.25">
      <c r="B32" t="s">
        <v>1</v>
      </c>
      <c r="C32" s="1">
        <v>5.5427049999999998</v>
      </c>
      <c r="D32" s="1">
        <v>4.5456999999999997E-2</v>
      </c>
      <c r="E32" s="1">
        <v>0.104603</v>
      </c>
      <c r="G32" t="s">
        <v>11</v>
      </c>
      <c r="I32" s="1">
        <v>1.558217</v>
      </c>
      <c r="J32" s="1">
        <v>-0.248691</v>
      </c>
      <c r="K32" s="1">
        <v>1.08E-4</v>
      </c>
      <c r="P32" s="2">
        <f t="shared" si="0"/>
        <v>2811.8220000000001</v>
      </c>
      <c r="Q32" s="4">
        <f t="shared" si="1"/>
        <v>26.659999999999989</v>
      </c>
      <c r="R32" s="5">
        <f t="shared" si="2"/>
        <v>-1.081</v>
      </c>
      <c r="T32" s="29">
        <f t="shared" si="3"/>
        <v>2.5000000000002132E-2</v>
      </c>
      <c r="U32" s="5">
        <f t="shared" si="4"/>
        <v>-0.10400000000000176</v>
      </c>
    </row>
    <row r="33" spans="1:21" x14ac:dyDescent="0.25">
      <c r="B33" t="s">
        <v>2</v>
      </c>
      <c r="C33" s="1">
        <v>5.543552</v>
      </c>
      <c r="D33" s="1">
        <v>-4.9556999999999997E-2</v>
      </c>
      <c r="E33" s="1">
        <v>0.10459400000000001</v>
      </c>
      <c r="G33" t="s">
        <v>12</v>
      </c>
      <c r="I33" s="1">
        <v>0.584561</v>
      </c>
      <c r="J33" s="1">
        <v>-0.248612</v>
      </c>
      <c r="K33" s="1">
        <v>1.05E-4</v>
      </c>
      <c r="P33" s="2">
        <f t="shared" si="0"/>
        <v>2811.866</v>
      </c>
      <c r="Q33" s="4">
        <f t="shared" si="1"/>
        <v>26.653000000000009</v>
      </c>
      <c r="R33" s="5">
        <f t="shared" si="2"/>
        <v>-1.0820000000000001</v>
      </c>
      <c r="T33" s="29">
        <f t="shared" si="3"/>
        <v>1.8000000000021998E-2</v>
      </c>
      <c r="U33" s="5">
        <f t="shared" si="4"/>
        <v>-0.10500000000000187</v>
      </c>
    </row>
    <row r="34" spans="1:21" x14ac:dyDescent="0.25">
      <c r="B34" t="s">
        <v>3</v>
      </c>
      <c r="C34" s="1">
        <v>5.5432459999999999</v>
      </c>
      <c r="D34" s="1">
        <v>-0.104459</v>
      </c>
      <c r="E34" s="1">
        <v>4.9417999999999997E-2</v>
      </c>
      <c r="G34" t="s">
        <v>13</v>
      </c>
      <c r="I34" s="1">
        <v>-0.59148500000000004</v>
      </c>
      <c r="J34" s="1">
        <v>-0.24862000000000001</v>
      </c>
      <c r="K34" s="1">
        <v>7.6000000000000004E-5</v>
      </c>
      <c r="P34" s="2">
        <f t="shared" si="0"/>
        <v>2811.8580000000002</v>
      </c>
      <c r="Q34" s="4">
        <f t="shared" si="1"/>
        <v>26.649000000000004</v>
      </c>
      <c r="R34" s="5">
        <f t="shared" si="2"/>
        <v>-1.0700000000000003</v>
      </c>
      <c r="T34" s="29">
        <f t="shared" si="3"/>
        <v>1.400000000001711E-2</v>
      </c>
      <c r="U34" s="5">
        <f t="shared" si="4"/>
        <v>-9.3000000000002081E-2</v>
      </c>
    </row>
    <row r="35" spans="1:21" x14ac:dyDescent="0.25">
      <c r="B35" t="s">
        <v>4</v>
      </c>
      <c r="C35" s="1">
        <v>5.5426950000000001</v>
      </c>
      <c r="D35" s="1">
        <v>-0.104405</v>
      </c>
      <c r="E35" s="1">
        <v>-4.9541000000000002E-2</v>
      </c>
      <c r="G35" t="s">
        <v>14</v>
      </c>
      <c r="I35" s="1">
        <v>-1.562308</v>
      </c>
      <c r="J35" s="1">
        <v>-0.248501</v>
      </c>
      <c r="K35" s="1">
        <v>1.03E-4</v>
      </c>
      <c r="P35" s="2">
        <f t="shared" si="0"/>
        <v>2811.8629999999998</v>
      </c>
      <c r="Q35" s="4">
        <f t="shared" si="1"/>
        <v>26.643000000000001</v>
      </c>
      <c r="R35" s="5">
        <f t="shared" si="2"/>
        <v>-1.07</v>
      </c>
      <c r="T35" s="29">
        <f t="shared" si="3"/>
        <v>8.0000000000133298E-3</v>
      </c>
      <c r="U35" s="5">
        <f t="shared" si="4"/>
        <v>-9.3000000000001859E-2</v>
      </c>
    </row>
    <row r="36" spans="1:21" x14ac:dyDescent="0.25">
      <c r="I36" s="1"/>
      <c r="J36" s="1"/>
      <c r="K36" s="1"/>
      <c r="Q36" s="2"/>
      <c r="R36" s="2"/>
      <c r="S36" s="27" t="s">
        <v>72</v>
      </c>
      <c r="T36" s="28">
        <f>STDEV(T32:T35)</f>
        <v>7.1355915428649476E-3</v>
      </c>
      <c r="U36" s="28">
        <f>STDEV(U28:U31)</f>
        <v>8.8694231304161722E-3</v>
      </c>
    </row>
    <row r="37" spans="1:21" x14ac:dyDescent="0.25">
      <c r="A37" t="s">
        <v>16</v>
      </c>
      <c r="G37" t="s">
        <v>25</v>
      </c>
      <c r="I37" s="1"/>
      <c r="J37" s="1"/>
      <c r="K37" s="1"/>
      <c r="Q37" s="2"/>
      <c r="R37" s="2"/>
      <c r="S37" s="27" t="s">
        <v>73</v>
      </c>
      <c r="T37" s="28">
        <f>AVERAGE(T32:T35)</f>
        <v>1.6250000000013642E-2</v>
      </c>
      <c r="U37" s="28">
        <f>AVERAGE(U28:U31)</f>
        <v>3.0000000000025007E-3</v>
      </c>
    </row>
    <row r="38" spans="1:21" x14ac:dyDescent="0.25">
      <c r="B38" t="s">
        <v>6</v>
      </c>
      <c r="C38" s="1">
        <v>5.5425570000000004</v>
      </c>
      <c r="D38" s="1">
        <v>4.1999999999999998E-5</v>
      </c>
      <c r="E38" s="1">
        <v>-6.8999999999999997E-5</v>
      </c>
      <c r="G38" t="s">
        <v>6</v>
      </c>
      <c r="I38" s="1">
        <v>0</v>
      </c>
      <c r="J38" s="1">
        <v>0</v>
      </c>
      <c r="K38" s="1">
        <v>0</v>
      </c>
      <c r="P38" s="2">
        <f>(C38-I38)*1000</f>
        <v>5542.5570000000007</v>
      </c>
      <c r="Q38" s="4">
        <f>(D38-J38)*1000</f>
        <v>4.1999999999999996E-2</v>
      </c>
      <c r="R38" s="4">
        <f>(E38-K38)*1000</f>
        <v>-6.8999999999999992E-2</v>
      </c>
    </row>
    <row r="39" spans="1:21" x14ac:dyDescent="0.25">
      <c r="B39" t="s">
        <v>7</v>
      </c>
      <c r="C39" s="1">
        <v>5.5430339999999996</v>
      </c>
      <c r="D39" s="1">
        <v>6.8999999999999997E-5</v>
      </c>
      <c r="E39" s="1">
        <v>9.3974000000000002E-2</v>
      </c>
      <c r="G39" t="s">
        <v>7</v>
      </c>
      <c r="I39" s="1">
        <v>0</v>
      </c>
      <c r="J39" s="1">
        <v>8.3999999999999995E-5</v>
      </c>
      <c r="K39" s="1">
        <v>9.4044000000000003E-2</v>
      </c>
    </row>
    <row r="40" spans="1:21" x14ac:dyDescent="0.25">
      <c r="B40" t="s">
        <v>8</v>
      </c>
      <c r="C40" s="1">
        <v>5.5420800000000003</v>
      </c>
      <c r="D40" s="1">
        <v>1.83E-4</v>
      </c>
      <c r="E40" s="1">
        <v>-9.4025999999999998E-2</v>
      </c>
      <c r="G40" t="s">
        <v>8</v>
      </c>
      <c r="I40" s="1">
        <v>0</v>
      </c>
      <c r="J40" s="1">
        <v>8.3999999999999995E-5</v>
      </c>
      <c r="K40" s="1">
        <v>-9.3959000000000001E-2</v>
      </c>
    </row>
    <row r="41" spans="1:21" x14ac:dyDescent="0.25">
      <c r="B41" t="s">
        <v>9</v>
      </c>
      <c r="C41" s="1">
        <v>5.5430789999999996</v>
      </c>
      <c r="D41" s="1">
        <v>-9.3910999999999994E-2</v>
      </c>
      <c r="E41" s="1">
        <v>-8.2000000000000001E-5</v>
      </c>
      <c r="G41" t="s">
        <v>9</v>
      </c>
      <c r="I41" s="1">
        <v>0</v>
      </c>
      <c r="J41" s="1">
        <v>-9.3953999999999996E-2</v>
      </c>
      <c r="K41" s="1">
        <v>4.6E-5</v>
      </c>
    </row>
    <row r="42" spans="1:21" x14ac:dyDescent="0.25">
      <c r="B42" t="s">
        <v>1</v>
      </c>
      <c r="C42" s="1">
        <v>5.5427039999999996</v>
      </c>
      <c r="D42" s="1">
        <v>4.5449000000000003E-2</v>
      </c>
      <c r="E42" s="1">
        <v>0.104601</v>
      </c>
      <c r="G42" t="s">
        <v>1</v>
      </c>
      <c r="I42" s="1">
        <v>-1.3200000000000001E-4</v>
      </c>
      <c r="J42" s="1">
        <v>4.5471999999999999E-2</v>
      </c>
      <c r="K42" s="1">
        <v>0.104642</v>
      </c>
    </row>
    <row r="43" spans="1:21" x14ac:dyDescent="0.25">
      <c r="B43" t="s">
        <v>2</v>
      </c>
      <c r="C43" s="1">
        <v>5.5435540000000003</v>
      </c>
      <c r="D43" s="1">
        <v>-4.9556000000000003E-2</v>
      </c>
      <c r="E43" s="1">
        <v>0.10459400000000001</v>
      </c>
      <c r="G43" t="s">
        <v>2</v>
      </c>
      <c r="I43" s="1">
        <v>1.9100000000000001E-4</v>
      </c>
      <c r="J43" s="1">
        <v>-4.9535999999999997E-2</v>
      </c>
      <c r="K43" s="1">
        <v>0.104696</v>
      </c>
    </row>
    <row r="44" spans="1:21" x14ac:dyDescent="0.25">
      <c r="B44" t="s">
        <v>3</v>
      </c>
      <c r="C44" s="1">
        <v>5.5432430000000004</v>
      </c>
      <c r="D44" s="1">
        <v>-0.104452</v>
      </c>
      <c r="E44" s="1">
        <v>4.9426999999999999E-2</v>
      </c>
      <c r="G44" t="s">
        <v>3</v>
      </c>
      <c r="I44" s="1">
        <v>-1.45E-4</v>
      </c>
      <c r="J44" s="1">
        <v>-0.104465</v>
      </c>
      <c r="K44" s="1">
        <v>4.9561000000000001E-2</v>
      </c>
    </row>
    <row r="45" spans="1:21" x14ac:dyDescent="0.25">
      <c r="B45" t="s">
        <v>4</v>
      </c>
      <c r="C45" s="1">
        <v>5.5426950000000001</v>
      </c>
      <c r="D45" s="1">
        <v>-0.104406</v>
      </c>
      <c r="E45" s="1">
        <v>-4.9548000000000002E-2</v>
      </c>
      <c r="G45" t="s">
        <v>4</v>
      </c>
      <c r="I45" s="1">
        <v>-1.9100000000000001E-4</v>
      </c>
      <c r="J45" s="1">
        <v>-0.104478</v>
      </c>
      <c r="K45" s="1">
        <v>-4.9415000000000001E-2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opLeftCell="A13" workbookViewId="0">
      <selection activeCell="T23" sqref="T23"/>
    </sheetView>
  </sheetViews>
  <sheetFormatPr defaultRowHeight="15" x14ac:dyDescent="0.25"/>
  <cols>
    <col min="4" max="4" width="13.28515625" customWidth="1"/>
    <col min="7" max="7" width="10.5703125" bestFit="1" customWidth="1"/>
    <col min="11" max="11" width="11.28515625" bestFit="1" customWidth="1"/>
    <col min="15" max="15" width="11.28515625" bestFit="1" customWidth="1"/>
  </cols>
  <sheetData>
    <row r="1" spans="1:22" x14ac:dyDescent="0.25">
      <c r="B1" t="s">
        <v>43</v>
      </c>
    </row>
    <row r="2" spans="1:22" x14ac:dyDescent="0.25">
      <c r="B2" t="s">
        <v>31</v>
      </c>
      <c r="I2" t="s">
        <v>30</v>
      </c>
    </row>
    <row r="3" spans="1:22" x14ac:dyDescent="0.25">
      <c r="B3" t="s">
        <v>47</v>
      </c>
      <c r="C3" t="s">
        <v>48</v>
      </c>
      <c r="E3" t="s">
        <v>47</v>
      </c>
      <c r="F3" t="s">
        <v>48</v>
      </c>
      <c r="I3" t="s">
        <v>47</v>
      </c>
      <c r="J3" t="s">
        <v>48</v>
      </c>
    </row>
    <row r="4" spans="1:22" x14ac:dyDescent="0.25">
      <c r="A4" t="s">
        <v>33</v>
      </c>
      <c r="D4" t="s">
        <v>44</v>
      </c>
      <c r="E4" t="s">
        <v>45</v>
      </c>
    </row>
    <row r="5" spans="1:22" x14ac:dyDescent="0.25">
      <c r="A5" t="s">
        <v>34</v>
      </c>
      <c r="B5" s="2">
        <v>29.501999999999999</v>
      </c>
      <c r="C5" s="2"/>
      <c r="D5" s="2">
        <v>6.11</v>
      </c>
      <c r="E5" s="2">
        <f>B5+((0.014/6.45)*D5)</f>
        <v>29.515262015503875</v>
      </c>
      <c r="F5" s="2"/>
      <c r="G5" s="2" t="s">
        <v>49</v>
      </c>
      <c r="H5" s="2"/>
      <c r="I5" s="2"/>
      <c r="J5" s="2"/>
      <c r="K5" s="2" t="s">
        <v>49</v>
      </c>
      <c r="O5" t="s">
        <v>52</v>
      </c>
      <c r="R5" t="s">
        <v>56</v>
      </c>
      <c r="U5" t="s">
        <v>57</v>
      </c>
    </row>
    <row r="6" spans="1:22" x14ac:dyDescent="0.25">
      <c r="A6" t="s">
        <v>35</v>
      </c>
      <c r="B6" s="2">
        <v>29.504000000000001</v>
      </c>
      <c r="C6" s="2"/>
      <c r="D6" s="2"/>
      <c r="E6" s="2"/>
      <c r="F6" s="2"/>
      <c r="G6" s="2"/>
      <c r="H6" s="2"/>
      <c r="I6" s="2"/>
      <c r="J6" s="2"/>
      <c r="K6" s="2"/>
    </row>
    <row r="7" spans="1:22" x14ac:dyDescent="0.25">
      <c r="A7" t="s">
        <v>36</v>
      </c>
      <c r="B7" s="2">
        <v>29.515999999999998</v>
      </c>
      <c r="C7" s="2"/>
      <c r="D7" s="2">
        <v>-0.34</v>
      </c>
      <c r="E7" s="2">
        <f>B7+((0.014/6.45)*D7)</f>
        <v>29.515262015503875</v>
      </c>
      <c r="F7" s="2"/>
      <c r="G7" s="2"/>
      <c r="H7" s="2"/>
      <c r="I7" s="2"/>
      <c r="J7" s="2"/>
      <c r="K7" s="2"/>
    </row>
    <row r="8" spans="1:22" x14ac:dyDescent="0.25">
      <c r="A8" t="s">
        <v>37</v>
      </c>
      <c r="B8" s="2">
        <v>29.518000000000001</v>
      </c>
      <c r="C8" s="2"/>
      <c r="D8" s="2"/>
      <c r="E8" s="2"/>
      <c r="F8" s="2"/>
      <c r="G8" s="2"/>
      <c r="H8" s="2"/>
      <c r="I8" s="2"/>
      <c r="J8" s="2"/>
      <c r="K8" s="2"/>
      <c r="O8" t="s">
        <v>53</v>
      </c>
      <c r="P8" t="s">
        <v>54</v>
      </c>
      <c r="R8" t="s">
        <v>53</v>
      </c>
      <c r="S8" t="s">
        <v>54</v>
      </c>
      <c r="U8" t="s">
        <v>53</v>
      </c>
      <c r="V8" t="s">
        <v>54</v>
      </c>
    </row>
    <row r="9" spans="1:22" x14ac:dyDescent="0.25">
      <c r="B9" s="2"/>
      <c r="C9" s="2"/>
      <c r="D9" s="2"/>
      <c r="E9" s="2"/>
      <c r="F9" s="2"/>
      <c r="G9" s="2"/>
      <c r="H9" s="2"/>
      <c r="I9" s="2"/>
      <c r="J9" s="2"/>
      <c r="K9" s="2"/>
      <c r="O9" t="s">
        <v>51</v>
      </c>
      <c r="P9" t="s">
        <v>51</v>
      </c>
      <c r="R9" t="s">
        <v>51</v>
      </c>
      <c r="S9" t="s">
        <v>51</v>
      </c>
      <c r="U9" t="s">
        <v>51</v>
      </c>
      <c r="V9" t="s">
        <v>51</v>
      </c>
    </row>
    <row r="10" spans="1:22" x14ac:dyDescent="0.25">
      <c r="A10" t="s">
        <v>38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22" x14ac:dyDescent="0.25">
      <c r="A11" t="s">
        <v>7</v>
      </c>
      <c r="B11" s="2">
        <v>4.7560000000000002</v>
      </c>
      <c r="C11">
        <v>4.7569999999999997</v>
      </c>
      <c r="D11" s="2">
        <v>0</v>
      </c>
      <c r="E11" s="2">
        <f>B11+((0.014/6.45)*D11)</f>
        <v>4.7560000000000002</v>
      </c>
      <c r="F11" s="2">
        <f>C11+((0.014/6.45)*D11)</f>
        <v>4.7569999999999997</v>
      </c>
      <c r="G11" s="2">
        <v>93.984999999999999</v>
      </c>
      <c r="H11" s="2"/>
      <c r="I11" s="2"/>
      <c r="J11" s="2"/>
      <c r="K11" s="2"/>
      <c r="P11" s="2">
        <f>-(F11*25.4+G11)+214.8128</f>
        <v>0</v>
      </c>
      <c r="S11">
        <f>'16MAR2017'!R5</f>
        <v>0</v>
      </c>
      <c r="V11">
        <f>P11-S11</f>
        <v>0</v>
      </c>
    </row>
    <row r="12" spans="1:22" x14ac:dyDescent="0.25">
      <c r="A12" t="s">
        <v>9</v>
      </c>
      <c r="B12" s="2"/>
      <c r="D12" s="2"/>
      <c r="E12" s="2"/>
      <c r="F12" s="2"/>
      <c r="G12" s="2"/>
      <c r="H12" s="2"/>
      <c r="I12">
        <v>-26.425999999999998</v>
      </c>
      <c r="J12">
        <v>-26.425000000000001</v>
      </c>
      <c r="K12" s="2">
        <v>-93.894000000000005</v>
      </c>
      <c r="O12" s="2">
        <f>-(J12*25.4+K12)-765.089</f>
        <v>0</v>
      </c>
      <c r="P12" s="2"/>
      <c r="R12">
        <f>'16MAR2017'!Q5</f>
        <v>0</v>
      </c>
      <c r="U12">
        <f t="shared" ref="U12:U36" si="0">O12-R12</f>
        <v>0</v>
      </c>
    </row>
    <row r="13" spans="1:22" x14ac:dyDescent="0.25">
      <c r="D13" s="2"/>
      <c r="E13" s="2"/>
      <c r="F13" s="2"/>
      <c r="G13" s="2"/>
      <c r="H13" s="2"/>
      <c r="K13" s="2"/>
      <c r="O13" s="2"/>
      <c r="P13" s="2"/>
    </row>
    <row r="14" spans="1:22" x14ac:dyDescent="0.25">
      <c r="A14" t="s">
        <v>39</v>
      </c>
      <c r="D14" s="2"/>
      <c r="E14" s="2"/>
      <c r="F14" s="2"/>
      <c r="G14" s="2"/>
      <c r="H14" s="2"/>
      <c r="K14" s="2"/>
      <c r="O14" s="2"/>
      <c r="P14" s="2"/>
    </row>
    <row r="15" spans="1:22" x14ac:dyDescent="0.25">
      <c r="A15" t="s">
        <v>7</v>
      </c>
      <c r="B15">
        <v>4.8920000000000003</v>
      </c>
      <c r="C15">
        <v>4.8929999999999998</v>
      </c>
      <c r="D15" s="2">
        <v>1.1499999999999999</v>
      </c>
      <c r="E15" s="2">
        <f>B15+((0.014/6.45)*D15)</f>
        <v>4.8944961240310079</v>
      </c>
      <c r="F15" s="2">
        <f>C15+((0.014/6.45)*D15)</f>
        <v>4.8954961240310073</v>
      </c>
      <c r="G15" s="2">
        <v>91.495000000000005</v>
      </c>
      <c r="H15" s="2"/>
      <c r="I15">
        <v>-31.158999999999999</v>
      </c>
      <c r="J15">
        <v>-31.158000000000001</v>
      </c>
      <c r="K15" s="2"/>
      <c r="O15" s="2"/>
      <c r="P15" s="2">
        <f>-(F15*25.4+G15)+214.8128</f>
        <v>-1.0278015503875793</v>
      </c>
    </row>
    <row r="16" spans="1:22" x14ac:dyDescent="0.25">
      <c r="A16" t="s">
        <v>9</v>
      </c>
      <c r="B16">
        <v>8.4920000000000009</v>
      </c>
      <c r="C16">
        <v>8.4930000000000003</v>
      </c>
      <c r="D16" s="2">
        <v>1.1499999999999999</v>
      </c>
      <c r="E16" s="2">
        <f>B16+((0.014/6.45)*D16)</f>
        <v>8.4944961240310093</v>
      </c>
      <c r="F16" s="2">
        <f>C16+((0.014/6.45)*D16)</f>
        <v>8.4954961240310087</v>
      </c>
      <c r="G16" s="2"/>
      <c r="H16" s="2"/>
      <c r="I16">
        <v>-27.565000000000001</v>
      </c>
      <c r="J16">
        <v>-27.562000000000001</v>
      </c>
      <c r="K16" s="2">
        <v>-91.313999999999993</v>
      </c>
      <c r="O16" s="2">
        <f t="shared" ref="O16:O36" si="1">-(J16*25.4+K16)-765.089</f>
        <v>26.299799999999891</v>
      </c>
      <c r="P16" s="2"/>
    </row>
    <row r="17" spans="1:23" x14ac:dyDescent="0.25">
      <c r="A17" t="s">
        <v>8</v>
      </c>
      <c r="D17" s="2"/>
      <c r="E17" s="2"/>
      <c r="F17" s="2"/>
      <c r="G17" s="2"/>
      <c r="H17" s="2"/>
      <c r="I17">
        <v>-31.161999999999999</v>
      </c>
      <c r="J17">
        <v>-31.161000000000001</v>
      </c>
      <c r="K17" s="2"/>
      <c r="O17" s="2"/>
      <c r="P17" s="2"/>
    </row>
    <row r="18" spans="1:23" x14ac:dyDescent="0.25">
      <c r="D18" s="2"/>
      <c r="E18" s="2"/>
      <c r="F18" s="2"/>
      <c r="G18" s="2"/>
      <c r="H18" s="2"/>
      <c r="K18" s="2"/>
      <c r="O18" s="2"/>
      <c r="P18" s="2"/>
    </row>
    <row r="19" spans="1:23" x14ac:dyDescent="0.25">
      <c r="A19" t="s">
        <v>40</v>
      </c>
      <c r="D19" s="2"/>
      <c r="E19" s="2"/>
      <c r="F19" s="2"/>
      <c r="G19" s="2"/>
      <c r="H19" s="2"/>
      <c r="K19" s="2"/>
      <c r="O19" s="2"/>
      <c r="P19" s="2"/>
    </row>
    <row r="20" spans="1:23" x14ac:dyDescent="0.25">
      <c r="A20" t="s">
        <v>1</v>
      </c>
      <c r="B20">
        <v>1.407</v>
      </c>
      <c r="C20">
        <v>1.4059999999999999</v>
      </c>
      <c r="D20" s="2">
        <v>4.37</v>
      </c>
      <c r="E20" s="2">
        <f t="shared" ref="E20:E27" si="2">B20+((0.014/6.45)*D20)</f>
        <v>1.4164852713178295</v>
      </c>
      <c r="F20" s="2">
        <f t="shared" ref="F20:F27" si="3">C20+((0.014/6.45)*D20)</f>
        <v>1.4154852713178294</v>
      </c>
      <c r="G20" s="1">
        <f>0.179832*1000</f>
        <v>179.83199999999999</v>
      </c>
      <c r="H20" s="2"/>
      <c r="I20">
        <v>-31.167000000000002</v>
      </c>
      <c r="J20" s="2">
        <v>-31.164000000000001</v>
      </c>
      <c r="K20" s="2"/>
      <c r="O20" s="2"/>
      <c r="P20" s="2">
        <f>-(F20*25.4+G20)+214.8128</f>
        <v>-0.97252589147285562</v>
      </c>
      <c r="S20">
        <f>'16MAR2017'!R28</f>
        <v>-0.98299999999998389</v>
      </c>
      <c r="V20" s="4">
        <f t="shared" ref="V20:V35" si="4">P20-S20</f>
        <v>1.0474108527128267E-2</v>
      </c>
      <c r="W20" s="2"/>
    </row>
    <row r="21" spans="1:23" x14ac:dyDescent="0.25">
      <c r="A21" t="s">
        <v>2</v>
      </c>
      <c r="B21">
        <v>1.411</v>
      </c>
      <c r="C21">
        <v>1.4119999999999999</v>
      </c>
      <c r="D21" s="2">
        <v>3.4</v>
      </c>
      <c r="E21" s="2">
        <f t="shared" si="2"/>
        <v>1.4183798449612404</v>
      </c>
      <c r="F21" s="2">
        <f t="shared" si="3"/>
        <v>1.4193798449612403</v>
      </c>
      <c r="G21" s="1">
        <f>0.179747*1000</f>
        <v>179.74699999999999</v>
      </c>
      <c r="H21" s="2"/>
      <c r="I21">
        <v>-31.161999999999999</v>
      </c>
      <c r="J21" s="2">
        <v>-31.16</v>
      </c>
      <c r="K21" s="2"/>
      <c r="O21" s="2"/>
      <c r="P21" s="2">
        <f>-(F21*25.4+G21)+214.8128</f>
        <v>-0.98644806201548363</v>
      </c>
      <c r="S21">
        <f>'16MAR2017'!R29</f>
        <v>-0.97899999999997989</v>
      </c>
      <c r="V21" s="4">
        <f t="shared" si="4"/>
        <v>-7.4480620155037425E-3</v>
      </c>
      <c r="W21" s="2"/>
    </row>
    <row r="22" spans="1:23" x14ac:dyDescent="0.25">
      <c r="A22" t="s">
        <v>3</v>
      </c>
      <c r="B22">
        <v>1.4119999999999999</v>
      </c>
      <c r="C22">
        <v>1.413</v>
      </c>
      <c r="D22" s="2">
        <v>2.2200000000000002</v>
      </c>
      <c r="E22" s="2">
        <f t="shared" si="2"/>
        <v>1.4168186046511626</v>
      </c>
      <c r="F22" s="2">
        <f t="shared" si="3"/>
        <v>1.4178186046511627</v>
      </c>
      <c r="G22" s="1">
        <f>0.179792*1000</f>
        <v>179.792</v>
      </c>
      <c r="H22" s="2"/>
      <c r="I22">
        <v>-31.158000000000001</v>
      </c>
      <c r="J22" s="2">
        <v>-31.152999999999999</v>
      </c>
      <c r="K22" s="2"/>
      <c r="O22" s="2"/>
      <c r="P22" s="2">
        <f>-(F22*25.4+G22)+214.8128</f>
        <v>-0.99179255813950817</v>
      </c>
      <c r="S22">
        <f>'16MAR2017'!R30</f>
        <v>-0.9630000000000194</v>
      </c>
      <c r="V22" s="4">
        <f t="shared" si="4"/>
        <v>-2.8792558139488778E-2</v>
      </c>
      <c r="W22" s="2"/>
    </row>
    <row r="23" spans="1:23" x14ac:dyDescent="0.25">
      <c r="A23" t="s">
        <v>4</v>
      </c>
      <c r="B23">
        <v>1.4119999999999999</v>
      </c>
      <c r="C23">
        <v>1.4119999999999999</v>
      </c>
      <c r="D23" s="2">
        <v>1.25</v>
      </c>
      <c r="E23" s="2">
        <f t="shared" si="2"/>
        <v>1.4147131782945737</v>
      </c>
      <c r="F23" s="2">
        <f t="shared" si="3"/>
        <v>1.4147131782945737</v>
      </c>
      <c r="G23" s="1">
        <f>0.179867*1000</f>
        <v>179.86699999999999</v>
      </c>
      <c r="H23" s="2"/>
      <c r="I23">
        <v>-31.164999999999999</v>
      </c>
      <c r="J23" s="2">
        <v>-31.161999999999999</v>
      </c>
      <c r="K23" s="2"/>
      <c r="O23" s="2"/>
      <c r="P23" s="2">
        <f>-(F23*25.4+G23)+214.8128</f>
        <v>-0.98791472868214214</v>
      </c>
      <c r="S23">
        <f>'16MAR2017'!R31</f>
        <v>-0.97099999999999964</v>
      </c>
      <c r="V23" s="4">
        <f t="shared" si="4"/>
        <v>-1.6914728682142499E-2</v>
      </c>
      <c r="W23" s="2"/>
    </row>
    <row r="24" spans="1:23" x14ac:dyDescent="0.25">
      <c r="A24" t="s">
        <v>11</v>
      </c>
      <c r="B24">
        <v>8.4870000000000001</v>
      </c>
      <c r="C24">
        <v>8.4849999999999994</v>
      </c>
      <c r="D24" s="2">
        <v>4.37</v>
      </c>
      <c r="E24" s="2">
        <f t="shared" si="2"/>
        <v>8.4964852713178303</v>
      </c>
      <c r="F24" s="2">
        <f t="shared" si="3"/>
        <v>8.4944852713178296</v>
      </c>
      <c r="G24" s="2"/>
      <c r="H24" s="2"/>
      <c r="I24">
        <v>-21.379000000000001</v>
      </c>
      <c r="J24" s="2">
        <v>-21.378</v>
      </c>
      <c r="K24" s="1">
        <f>-0.248691*1000</f>
        <v>-248.691</v>
      </c>
      <c r="O24" s="2">
        <f t="shared" si="1"/>
        <v>26.603199999999902</v>
      </c>
      <c r="P24" s="2"/>
      <c r="R24">
        <f>'16MAR2017'!Q32</f>
        <v>26.659999999999989</v>
      </c>
      <c r="U24" s="4">
        <f t="shared" si="0"/>
        <v>-5.6800000000087891E-2</v>
      </c>
      <c r="W24" s="2"/>
    </row>
    <row r="25" spans="1:23" x14ac:dyDescent="0.25">
      <c r="A25" t="s">
        <v>12</v>
      </c>
      <c r="B25">
        <v>8.4879999999999995</v>
      </c>
      <c r="C25">
        <v>8.4860000000000007</v>
      </c>
      <c r="D25" s="2">
        <v>3.4</v>
      </c>
      <c r="E25" s="2">
        <f t="shared" si="2"/>
        <v>8.4953798449612403</v>
      </c>
      <c r="F25" s="2">
        <f t="shared" si="3"/>
        <v>8.4933798449612414</v>
      </c>
      <c r="G25" s="2"/>
      <c r="H25" s="2"/>
      <c r="I25">
        <v>-21.382999999999999</v>
      </c>
      <c r="J25" s="2">
        <v>-21.382999999999999</v>
      </c>
      <c r="K25" s="1">
        <f>-0.248612*1000</f>
        <v>-248.61199999999999</v>
      </c>
      <c r="O25" s="2">
        <f t="shared" si="1"/>
        <v>26.651199999999903</v>
      </c>
      <c r="P25" s="2"/>
      <c r="R25">
        <f>'16MAR2017'!Q33</f>
        <v>26.653000000000009</v>
      </c>
      <c r="U25" s="4">
        <f t="shared" si="0"/>
        <v>-1.8000000001059391E-3</v>
      </c>
      <c r="W25" s="2"/>
    </row>
    <row r="26" spans="1:23" x14ac:dyDescent="0.25">
      <c r="A26" t="s">
        <v>13</v>
      </c>
      <c r="B26">
        <v>8.4909999999999997</v>
      </c>
      <c r="C26">
        <v>8.4920000000000009</v>
      </c>
      <c r="D26" s="2">
        <v>2.2200000000000002</v>
      </c>
      <c r="E26" s="2">
        <f t="shared" si="2"/>
        <v>8.4958186046511628</v>
      </c>
      <c r="F26" s="2">
        <f t="shared" si="3"/>
        <v>8.496818604651164</v>
      </c>
      <c r="G26" s="2"/>
      <c r="H26" s="2"/>
      <c r="I26">
        <v>-21.382999999999999</v>
      </c>
      <c r="J26" s="2">
        <v>-21.382000000000001</v>
      </c>
      <c r="K26" s="1">
        <f>-0.24862*1000</f>
        <v>-248.62</v>
      </c>
      <c r="O26" s="2">
        <f t="shared" si="1"/>
        <v>26.633799999999951</v>
      </c>
      <c r="P26" s="2"/>
      <c r="R26">
        <f>'16MAR2017'!Q34</f>
        <v>26.649000000000004</v>
      </c>
      <c r="U26" s="4">
        <f t="shared" si="0"/>
        <v>-1.5200000000053393E-2</v>
      </c>
      <c r="W26" s="2"/>
    </row>
    <row r="27" spans="1:23" x14ac:dyDescent="0.25">
      <c r="A27" t="s">
        <v>14</v>
      </c>
      <c r="B27">
        <v>8.4930000000000003</v>
      </c>
      <c r="C27">
        <v>8.4890000000000008</v>
      </c>
      <c r="D27" s="2">
        <v>1.25</v>
      </c>
      <c r="E27" s="2">
        <f t="shared" si="2"/>
        <v>8.4957131782945741</v>
      </c>
      <c r="F27" s="2">
        <f t="shared" si="3"/>
        <v>8.4917131782945745</v>
      </c>
      <c r="G27" s="2"/>
      <c r="H27" s="2"/>
      <c r="I27">
        <v>-21.388000000000002</v>
      </c>
      <c r="J27" s="2">
        <v>-21.388000000000002</v>
      </c>
      <c r="K27" s="1">
        <f>-0.248501*1000</f>
        <v>-248.501</v>
      </c>
      <c r="O27" s="2">
        <f t="shared" si="1"/>
        <v>26.66719999999998</v>
      </c>
      <c r="P27" s="2"/>
      <c r="R27">
        <f>'16MAR2017'!Q35</f>
        <v>26.643000000000001</v>
      </c>
      <c r="U27" s="4">
        <f t="shared" si="0"/>
        <v>2.4199999999979127E-2</v>
      </c>
      <c r="W27" s="2"/>
    </row>
    <row r="28" spans="1:23" x14ac:dyDescent="0.25">
      <c r="D28" s="2"/>
      <c r="E28" s="2"/>
      <c r="F28" s="2"/>
      <c r="G28" s="2"/>
      <c r="H28" s="2"/>
      <c r="K28" s="2"/>
      <c r="O28" s="2"/>
      <c r="P28" s="2"/>
    </row>
    <row r="29" spans="1:23" x14ac:dyDescent="0.25">
      <c r="A29" t="s">
        <v>41</v>
      </c>
      <c r="D29" s="2"/>
      <c r="E29" s="2"/>
      <c r="F29" s="2"/>
      <c r="G29" s="2"/>
      <c r="H29" s="2"/>
      <c r="K29" s="2"/>
      <c r="O29" s="2"/>
      <c r="P29" s="2"/>
    </row>
    <row r="30" spans="1:23" x14ac:dyDescent="0.25">
      <c r="A30" t="s">
        <v>8</v>
      </c>
      <c r="B30">
        <v>4.8819999999999997</v>
      </c>
      <c r="C30">
        <v>4.8819999999999997</v>
      </c>
      <c r="D30" s="2">
        <v>4.47</v>
      </c>
      <c r="E30" s="2">
        <f>B30+((0.014/6.45)*D30)</f>
        <v>4.8917023255813952</v>
      </c>
      <c r="F30" s="2">
        <f>C30+((0.014/6.45)*D30)</f>
        <v>4.8917023255813952</v>
      </c>
      <c r="G30" s="2">
        <v>91.447000000000003</v>
      </c>
      <c r="H30" s="2"/>
      <c r="I30">
        <v>-31.157</v>
      </c>
      <c r="J30">
        <v>-31.155999999999999</v>
      </c>
      <c r="K30" s="2"/>
      <c r="O30" s="2"/>
      <c r="P30" s="2">
        <f>-(F30*25.4+G30)+214.8128</f>
        <v>-0.88343906976743369</v>
      </c>
    </row>
    <row r="31" spans="1:23" x14ac:dyDescent="0.25">
      <c r="A31" t="s">
        <v>9</v>
      </c>
      <c r="B31">
        <v>8.4849999999999994</v>
      </c>
      <c r="C31">
        <v>8.4849999999999994</v>
      </c>
      <c r="D31" s="2">
        <v>4.47</v>
      </c>
      <c r="E31" s="2">
        <f>B31+((0.014/6.45)*D31)</f>
        <v>8.4947023255813949</v>
      </c>
      <c r="F31" s="2">
        <f>C31+((0.014/6.45)*D31)</f>
        <v>8.4947023255813949</v>
      </c>
      <c r="G31" s="2"/>
      <c r="H31" s="2"/>
      <c r="I31">
        <v>-27.562999999999999</v>
      </c>
      <c r="J31">
        <v>-27.562000000000001</v>
      </c>
      <c r="K31" s="2">
        <v>-91.322000000000003</v>
      </c>
      <c r="O31" s="2">
        <f t="shared" si="1"/>
        <v>26.307799999999929</v>
      </c>
      <c r="P31" s="2"/>
    </row>
    <row r="32" spans="1:23" x14ac:dyDescent="0.25">
      <c r="A32" t="s">
        <v>7</v>
      </c>
      <c r="D32" s="2"/>
      <c r="E32" s="2"/>
      <c r="F32" s="2"/>
      <c r="G32" s="2"/>
      <c r="H32" s="2"/>
      <c r="I32">
        <v>-31.158000000000001</v>
      </c>
      <c r="J32">
        <v>-31.158000000000001</v>
      </c>
      <c r="K32" s="2"/>
      <c r="O32" s="2"/>
      <c r="P32" s="2"/>
    </row>
    <row r="33" spans="1:22" x14ac:dyDescent="0.25">
      <c r="D33" s="2"/>
      <c r="E33" s="2"/>
      <c r="F33" s="2"/>
      <c r="G33" s="2"/>
      <c r="H33" s="2"/>
      <c r="K33" s="2"/>
      <c r="O33" s="2"/>
      <c r="P33" s="2"/>
    </row>
    <row r="34" spans="1:22" x14ac:dyDescent="0.25">
      <c r="A34" t="s">
        <v>42</v>
      </c>
      <c r="D34" s="2"/>
      <c r="E34" s="2"/>
      <c r="F34" s="2"/>
      <c r="G34" s="2"/>
      <c r="H34" s="2"/>
      <c r="K34" s="2"/>
      <c r="O34" s="2"/>
      <c r="P34" s="2"/>
    </row>
    <row r="35" spans="1:22" x14ac:dyDescent="0.25">
      <c r="A35" t="s">
        <v>7</v>
      </c>
      <c r="B35">
        <v>4.7439999999999998</v>
      </c>
      <c r="C35">
        <v>4.7439999999999998</v>
      </c>
      <c r="D35" s="2">
        <v>5.54</v>
      </c>
      <c r="E35" s="2">
        <f>B35+((0.014/6.45)*D35)</f>
        <v>4.75602480620155</v>
      </c>
      <c r="F35" s="2">
        <f>C35+((0.014/6.45)*D35)</f>
        <v>4.75602480620155</v>
      </c>
      <c r="G35" s="2">
        <v>94.043000000000006</v>
      </c>
      <c r="H35" s="2"/>
      <c r="K35" s="2"/>
      <c r="O35" s="2"/>
      <c r="P35" s="2">
        <f>-(F35*25.4+G35)+214.8128</f>
        <v>-3.3230077519363022E-2</v>
      </c>
      <c r="S35">
        <f>'16MAR2017'!R38</f>
        <v>-6.8999999999999992E-2</v>
      </c>
      <c r="V35" s="2">
        <f t="shared" si="4"/>
        <v>3.576992248063697E-2</v>
      </c>
    </row>
    <row r="36" spans="1:22" x14ac:dyDescent="0.25">
      <c r="A36" t="s">
        <v>9</v>
      </c>
      <c r="B36" s="2"/>
      <c r="C36" s="2"/>
      <c r="D36" s="2"/>
      <c r="E36" s="2"/>
      <c r="F36" s="2"/>
      <c r="G36" s="2"/>
      <c r="H36" s="2"/>
      <c r="I36" s="2">
        <v>-26.42</v>
      </c>
      <c r="J36" s="2">
        <v>-26.42</v>
      </c>
      <c r="K36" s="2">
        <v>-93.953999999999994</v>
      </c>
      <c r="O36" s="2">
        <f t="shared" si="1"/>
        <v>-6.7000000000120963E-2</v>
      </c>
      <c r="R36">
        <f>'16MAR2017'!Q38</f>
        <v>4.1999999999999996E-2</v>
      </c>
      <c r="U36">
        <f t="shared" si="0"/>
        <v>-0.10900000000012096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F5" sqref="F5"/>
    </sheetView>
  </sheetViews>
  <sheetFormatPr defaultRowHeight="15" x14ac:dyDescent="0.25"/>
  <sheetData>
    <row r="1" spans="1:9" x14ac:dyDescent="0.25">
      <c r="C1" s="25" t="s">
        <v>64</v>
      </c>
    </row>
    <row r="2" spans="1:9" x14ac:dyDescent="0.25">
      <c r="B2" s="25" t="s">
        <v>58</v>
      </c>
      <c r="C2" s="25"/>
      <c r="D2" s="25" t="s">
        <v>59</v>
      </c>
      <c r="F2" s="25" t="s">
        <v>63</v>
      </c>
    </row>
    <row r="3" spans="1:9" x14ac:dyDescent="0.25">
      <c r="B3" s="21" t="s">
        <v>60</v>
      </c>
      <c r="C3" s="21" t="s">
        <v>61</v>
      </c>
      <c r="D3" s="21" t="s">
        <v>60</v>
      </c>
      <c r="E3" s="21" t="s">
        <v>61</v>
      </c>
      <c r="F3" s="21" t="s">
        <v>60</v>
      </c>
      <c r="G3" s="21" t="s">
        <v>61</v>
      </c>
      <c r="H3" s="26" t="s">
        <v>69</v>
      </c>
      <c r="I3" s="26" t="s">
        <v>70</v>
      </c>
    </row>
    <row r="4" spans="1:9" x14ac:dyDescent="0.25">
      <c r="A4" s="6" t="s">
        <v>41</v>
      </c>
      <c r="B4" s="7">
        <v>9.1322E-2</v>
      </c>
      <c r="C4" s="8">
        <v>9.1477000000000003E-2</v>
      </c>
      <c r="D4" s="9">
        <v>7.8034999999999993E-2</v>
      </c>
      <c r="E4" s="10">
        <v>2.9E-4</v>
      </c>
      <c r="F4" s="11">
        <f>(B4+D4-A$12+0.0005)*1000</f>
        <v>91.410999999999973</v>
      </c>
      <c r="G4" s="12">
        <f>(C4+E4-B$12)*1000</f>
        <v>91.37299999999999</v>
      </c>
      <c r="H4" s="2">
        <f>F4-F$4</f>
        <v>0</v>
      </c>
      <c r="I4" s="2">
        <f>G4-G$4</f>
        <v>0</v>
      </c>
    </row>
    <row r="5" spans="1:9" x14ac:dyDescent="0.25">
      <c r="A5" s="6" t="s">
        <v>39</v>
      </c>
      <c r="B5" s="13">
        <v>9.1314000000000006E-2</v>
      </c>
      <c r="C5" s="14">
        <v>9.1495000000000007E-2</v>
      </c>
      <c r="D5" s="15">
        <v>7.8032000000000004E-2</v>
      </c>
      <c r="E5" s="16">
        <v>2.2100000000000001E-4</v>
      </c>
      <c r="F5" s="11">
        <f t="shared" ref="F5:F7" si="0">(B5+D5-A$12+0.0005)*1000</f>
        <v>91.399999999999991</v>
      </c>
      <c r="G5" s="12">
        <f>(C5+E5-B$12)*1000</f>
        <v>91.322000000000003</v>
      </c>
      <c r="H5" s="2">
        <f t="shared" ref="H5:I7" si="1">F5-F$4</f>
        <v>-1.0999999999981469E-2</v>
      </c>
      <c r="I5" s="2">
        <f t="shared" si="1"/>
        <v>-5.0999999999987722E-2</v>
      </c>
    </row>
    <row r="6" spans="1:9" x14ac:dyDescent="0.25">
      <c r="A6" s="6" t="s">
        <v>38</v>
      </c>
      <c r="B6" s="13">
        <v>9.3894000000000005E-2</v>
      </c>
      <c r="C6" s="14">
        <v>9.3988000000000002E-2</v>
      </c>
      <c r="D6" s="15">
        <v>0.104381</v>
      </c>
      <c r="E6" s="16">
        <v>1.2199999999999999E-3</v>
      </c>
      <c r="F6" s="11">
        <f t="shared" si="0"/>
        <v>120.32900000000001</v>
      </c>
      <c r="G6" s="12">
        <f>(C6+E6-B$12)*1000</f>
        <v>94.813999999999993</v>
      </c>
      <c r="H6" s="2">
        <f t="shared" si="1"/>
        <v>28.918000000000035</v>
      </c>
      <c r="I6">
        <f t="shared" si="1"/>
        <v>3.4410000000000025</v>
      </c>
    </row>
    <row r="7" spans="1:9" x14ac:dyDescent="0.25">
      <c r="A7" s="6" t="s">
        <v>42</v>
      </c>
      <c r="B7" s="17">
        <v>9.3953999999999996E-2</v>
      </c>
      <c r="C7" s="18">
        <v>9.4045000000000004E-2</v>
      </c>
      <c r="D7" s="19">
        <v>0.10435999999999999</v>
      </c>
      <c r="E7" s="20">
        <v>1.158E-3</v>
      </c>
      <c r="F7" s="11">
        <f t="shared" si="0"/>
        <v>120.36799999999999</v>
      </c>
      <c r="G7" s="12">
        <f>(C7+E7-B$12)*1000</f>
        <v>94.808999999999997</v>
      </c>
      <c r="H7" s="2">
        <f t="shared" si="1"/>
        <v>28.957000000000022</v>
      </c>
      <c r="I7" s="2">
        <f t="shared" si="1"/>
        <v>3.436000000000007</v>
      </c>
    </row>
    <row r="10" spans="1:9" x14ac:dyDescent="0.25">
      <c r="A10" s="24" t="s">
        <v>62</v>
      </c>
    </row>
    <row r="11" spans="1:9" x14ac:dyDescent="0.25">
      <c r="A11" s="21" t="s">
        <v>60</v>
      </c>
      <c r="B11" s="21" t="s">
        <v>61</v>
      </c>
    </row>
    <row r="12" spans="1:9" x14ac:dyDescent="0.25">
      <c r="A12" s="22">
        <v>7.8446000000000002E-2</v>
      </c>
      <c r="B12" s="23">
        <v>3.9399999999999998E-4</v>
      </c>
    </row>
    <row r="15" spans="1:9" x14ac:dyDescent="0.25">
      <c r="D15" s="25" t="s">
        <v>65</v>
      </c>
    </row>
    <row r="16" spans="1:9" x14ac:dyDescent="0.25">
      <c r="C16" s="21" t="s">
        <v>60</v>
      </c>
      <c r="E16" s="26" t="s">
        <v>69</v>
      </c>
      <c r="F16" s="21" t="s">
        <v>61</v>
      </c>
      <c r="I16" s="26" t="s">
        <v>70</v>
      </c>
    </row>
    <row r="17" spans="1:9" x14ac:dyDescent="0.25">
      <c r="B17" s="21" t="s">
        <v>67</v>
      </c>
      <c r="C17" s="21" t="s">
        <v>68</v>
      </c>
      <c r="D17" s="25" t="s">
        <v>66</v>
      </c>
      <c r="F17" s="21" t="s">
        <v>67</v>
      </c>
      <c r="G17" s="21" t="s">
        <v>68</v>
      </c>
      <c r="H17" s="25" t="s">
        <v>66</v>
      </c>
    </row>
    <row r="18" spans="1:9" x14ac:dyDescent="0.25">
      <c r="A18" s="6" t="s">
        <v>41</v>
      </c>
      <c r="B18">
        <v>8.4949999999999992</v>
      </c>
      <c r="C18">
        <v>8.4949999999999992</v>
      </c>
      <c r="D18">
        <f t="shared" ref="D18:D21" si="2">(B18+C18)/2*25.4</f>
        <v>215.77299999999997</v>
      </c>
      <c r="E18" s="2">
        <f>D18-D$18</f>
        <v>0</v>
      </c>
      <c r="F18">
        <v>4.8920000000000003</v>
      </c>
      <c r="G18">
        <v>4.8920000000000003</v>
      </c>
      <c r="H18">
        <f t="shared" ref="H18:H21" si="3">(F18+G18)/2*25.4</f>
        <v>124.2568</v>
      </c>
      <c r="I18" s="2">
        <f>H$18-H18</f>
        <v>0</v>
      </c>
    </row>
    <row r="19" spans="1:9" x14ac:dyDescent="0.25">
      <c r="A19" s="6" t="s">
        <v>39</v>
      </c>
      <c r="B19">
        <v>8.4939999999999998</v>
      </c>
      <c r="C19">
        <v>8.4949999999999992</v>
      </c>
      <c r="D19">
        <f t="shared" si="2"/>
        <v>215.76029999999994</v>
      </c>
      <c r="E19" s="2">
        <f t="shared" ref="E19:E21" si="4">D19-D$18</f>
        <v>-1.2700000000023692E-2</v>
      </c>
      <c r="F19">
        <v>4.8940000000000001</v>
      </c>
      <c r="G19">
        <v>4.8949999999999996</v>
      </c>
      <c r="H19">
        <f t="shared" si="3"/>
        <v>124.32029999999999</v>
      </c>
      <c r="I19" s="2">
        <f t="shared" ref="I19:I21" si="5">H$18-H19</f>
        <v>-6.3499999999990564E-2</v>
      </c>
    </row>
    <row r="20" spans="1:9" x14ac:dyDescent="0.25">
      <c r="A20" s="6" t="s">
        <v>38</v>
      </c>
      <c r="E20" s="2"/>
      <c r="F20" s="2">
        <v>4.7560000000000002</v>
      </c>
      <c r="G20">
        <v>4.7569999999999997</v>
      </c>
      <c r="H20">
        <f t="shared" si="3"/>
        <v>120.81509999999999</v>
      </c>
      <c r="I20">
        <f t="shared" si="5"/>
        <v>3.4417000000000115</v>
      </c>
    </row>
    <row r="21" spans="1:9" x14ac:dyDescent="0.25">
      <c r="A21" s="6" t="s">
        <v>42</v>
      </c>
      <c r="B21" s="2"/>
      <c r="C21" s="2"/>
      <c r="E21" s="2"/>
      <c r="F21">
        <v>4.7560000000000002</v>
      </c>
      <c r="G21">
        <v>4.7560000000000002</v>
      </c>
      <c r="H21">
        <f t="shared" si="3"/>
        <v>120.80240000000001</v>
      </c>
      <c r="I21" s="2">
        <f t="shared" si="5"/>
        <v>3.4543999999999926</v>
      </c>
    </row>
    <row r="24" spans="1:9" x14ac:dyDescent="0.25">
      <c r="D24" s="25" t="s">
        <v>71</v>
      </c>
    </row>
    <row r="26" spans="1:9" x14ac:dyDescent="0.25">
      <c r="D26" s="21" t="s">
        <v>60</v>
      </c>
      <c r="E26" s="26" t="s">
        <v>69</v>
      </c>
      <c r="H26" s="21" t="s">
        <v>61</v>
      </c>
      <c r="I26" s="26" t="s">
        <v>70</v>
      </c>
    </row>
    <row r="27" spans="1:9" x14ac:dyDescent="0.25">
      <c r="B27" s="21"/>
      <c r="C27" s="21"/>
      <c r="D27" s="25" t="s">
        <v>66</v>
      </c>
      <c r="F27" s="21"/>
      <c r="G27" s="21"/>
      <c r="H27" s="25" t="s">
        <v>66</v>
      </c>
    </row>
    <row r="28" spans="1:9" x14ac:dyDescent="0.25">
      <c r="A28" s="6" t="s">
        <v>41</v>
      </c>
      <c r="D28" s="1">
        <v>-9.1605000000000006E-2</v>
      </c>
      <c r="E28" s="2">
        <f>(D28-D$28)*1000</f>
        <v>0</v>
      </c>
      <c r="H28" s="1">
        <v>9.1446E-2</v>
      </c>
      <c r="I28" s="2">
        <f>(H$28-H28)*1000</f>
        <v>0</v>
      </c>
    </row>
    <row r="29" spans="1:9" x14ac:dyDescent="0.25">
      <c r="A29" s="6" t="s">
        <v>39</v>
      </c>
      <c r="D29" s="1">
        <v>-9.1607999999999995E-2</v>
      </c>
      <c r="E29" s="2">
        <f t="shared" ref="E29:E31" si="6">(D29-D$28)*1000</f>
        <v>-2.9999999999891225E-3</v>
      </c>
      <c r="H29" s="1">
        <v>9.1499999999999998E-2</v>
      </c>
      <c r="I29" s="2">
        <f t="shared" ref="I29:I31" si="7">(H$28-H29)*1000</f>
        <v>-5.3999999999998494E-2</v>
      </c>
    </row>
    <row r="30" spans="1:9" x14ac:dyDescent="0.25">
      <c r="A30" s="6" t="s">
        <v>38</v>
      </c>
      <c r="D30" s="1">
        <v>-9.3886999999999998E-2</v>
      </c>
      <c r="E30" s="2">
        <f t="shared" si="6"/>
        <v>-2.2819999999999925</v>
      </c>
      <c r="F30" s="2"/>
      <c r="H30" s="1">
        <v>9.3987000000000001E-2</v>
      </c>
      <c r="I30" s="2">
        <f t="shared" si="7"/>
        <v>-2.5410000000000017</v>
      </c>
    </row>
    <row r="31" spans="1:9" x14ac:dyDescent="0.25">
      <c r="A31" s="6" t="s">
        <v>42</v>
      </c>
      <c r="B31" s="2"/>
      <c r="C31" s="2"/>
      <c r="D31" s="1">
        <v>-9.3910999999999994E-2</v>
      </c>
      <c r="E31" s="2">
        <f t="shared" si="6"/>
        <v>-2.3059999999999885</v>
      </c>
      <c r="H31" s="1">
        <v>9.3974000000000002E-2</v>
      </c>
      <c r="I31" s="2">
        <f t="shared" si="7"/>
        <v>-2.5280000000000022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16MAR2017</vt:lpstr>
      <vt:lpstr>Optical Tooling</vt:lpstr>
      <vt:lpstr>PMs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Imfeld, Hans Louis</dc:creator>
  <cp:lastModifiedBy>Levashov, Yurii I.</cp:lastModifiedBy>
  <dcterms:created xsi:type="dcterms:W3CDTF">2017-03-14T22:02:40Z</dcterms:created>
  <dcterms:modified xsi:type="dcterms:W3CDTF">2017-03-17T21:25:51Z</dcterms:modified>
</cp:coreProperties>
</file>