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DFYProjects\DFY504313_SLAC Phase Shifters\30 Technical\40 QA and Test results\FAT documentation\2410090\"/>
    </mc:Choice>
  </mc:AlternateContent>
  <xr:revisionPtr revIDLastSave="0" documentId="13_ncr:1_{7BAD895F-B967-4D24-982B-A2E08AD386C5}" xr6:coauthVersionLast="47" xr6:coauthVersionMax="47" xr10:uidLastSave="{00000000-0000-0000-0000-000000000000}"/>
  <bookViews>
    <workbookView xWindow="1170" yWindow="1170" windowWidth="21600" windowHeight="11385" firstSheet="1" activeTab="1" xr2:uid="{00000000-000D-0000-FFFF-FFFF00000000}"/>
  </bookViews>
  <sheets>
    <sheet name="2410082 Report" sheetId="3" r:id="rId1"/>
    <sheet name="2410090 Report" sheetId="7" r:id="rId2"/>
  </sheets>
  <definedNames>
    <definedName name="Print" localSheetId="0">'2410082 Report'!$A$1:$W$29</definedName>
    <definedName name="Print" localSheetId="1">'2410090 Report'!$A$1:$W$29</definedName>
    <definedName name="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8" i="7" l="1"/>
  <c r="AC44" i="7"/>
  <c r="AC40" i="7"/>
  <c r="AC36" i="7"/>
  <c r="AC32" i="7"/>
  <c r="AC28" i="7"/>
  <c r="AC24" i="7"/>
  <c r="AC20" i="7"/>
  <c r="AC16" i="7"/>
  <c r="AC12" i="7"/>
  <c r="AC8" i="7"/>
  <c r="AC4" i="7"/>
  <c r="AC26" i="3"/>
  <c r="AA13" i="3"/>
  <c r="AB23" i="3"/>
  <c r="AB6" i="3"/>
  <c r="AC5" i="3"/>
  <c r="AB28" i="3"/>
  <c r="AC27" i="3"/>
  <c r="AC14" i="3"/>
  <c r="AC19" i="3"/>
  <c r="AC24" i="3"/>
  <c r="AB14" i="3"/>
  <c r="AA12" i="3"/>
  <c r="AA41" i="3"/>
  <c r="AA22" i="3"/>
  <c r="AB21" i="3"/>
  <c r="AA5" i="3"/>
  <c r="AA18" i="3"/>
  <c r="AA23" i="3"/>
  <c r="AC46" i="3"/>
  <c r="AB48" i="7"/>
  <c r="AB44" i="7"/>
  <c r="AB40" i="7"/>
  <c r="AB36" i="7"/>
  <c r="AB32" i="7"/>
  <c r="AB28" i="7"/>
  <c r="AB24" i="7"/>
  <c r="AB20" i="7"/>
  <c r="AB16" i="7"/>
  <c r="AB12" i="7"/>
  <c r="AB8" i="7"/>
  <c r="AB4" i="7"/>
  <c r="AA24" i="3"/>
  <c r="AC47" i="3"/>
  <c r="AB10" i="3"/>
  <c r="AC20" i="3"/>
  <c r="AC25" i="3"/>
  <c r="AA45" i="3"/>
  <c r="AA9" i="3"/>
  <c r="AA48" i="7"/>
  <c r="AA44" i="7"/>
  <c r="AA40" i="7"/>
  <c r="AA36" i="7"/>
  <c r="AA32" i="7"/>
  <c r="AA28" i="7"/>
  <c r="AA24" i="7"/>
  <c r="AA20" i="7"/>
  <c r="AA16" i="7"/>
  <c r="AA12" i="7"/>
  <c r="AA8" i="7"/>
  <c r="AA4" i="7"/>
  <c r="AC47" i="7"/>
  <c r="AC43" i="7"/>
  <c r="AC39" i="7"/>
  <c r="AC35" i="7"/>
  <c r="AC31" i="7"/>
  <c r="AC27" i="7"/>
  <c r="AC23" i="7"/>
  <c r="AC19" i="7"/>
  <c r="AC15" i="7"/>
  <c r="AC11" i="7"/>
  <c r="AC7" i="7"/>
  <c r="AC3" i="7"/>
  <c r="AC18" i="3"/>
  <c r="AB42" i="3"/>
  <c r="AC37" i="3"/>
  <c r="AB47" i="3"/>
  <c r="AB15" i="3"/>
  <c r="AB20" i="3"/>
  <c r="AB41" i="3"/>
  <c r="AC3" i="3"/>
  <c r="AC48" i="3"/>
  <c r="AC16" i="3"/>
  <c r="AB11" i="7"/>
  <c r="AB7" i="7"/>
  <c r="AB3" i="7"/>
  <c r="AB47" i="7"/>
  <c r="AB43" i="7"/>
  <c r="AB39" i="7"/>
  <c r="AB35" i="7"/>
  <c r="AB31" i="7"/>
  <c r="AB27" i="7"/>
  <c r="AB23" i="7"/>
  <c r="AB19" i="7"/>
  <c r="AB15" i="7"/>
  <c r="AA47" i="7"/>
  <c r="AA43" i="7"/>
  <c r="AA39" i="7"/>
  <c r="AA35" i="7"/>
  <c r="AA31" i="7"/>
  <c r="AA27" i="7"/>
  <c r="AA23" i="7"/>
  <c r="AA19" i="7"/>
  <c r="AA15" i="7"/>
  <c r="AA11" i="7"/>
  <c r="AA7" i="7"/>
  <c r="AA3" i="7"/>
  <c r="AB45" i="3"/>
  <c r="AB13" i="3"/>
  <c r="AA37" i="3"/>
  <c r="AA27" i="3"/>
  <c r="AA42" i="3"/>
  <c r="AA10" i="3"/>
  <c r="AA47" i="3"/>
  <c r="AA15" i="3"/>
  <c r="AB33" i="3"/>
  <c r="AC29" i="3"/>
  <c r="AB43" i="3"/>
  <c r="AB11" i="3"/>
  <c r="AC46" i="7"/>
  <c r="AC42" i="7"/>
  <c r="AC38" i="7"/>
  <c r="AC34" i="7"/>
  <c r="AC30" i="7"/>
  <c r="AC26" i="7"/>
  <c r="AC22" i="7"/>
  <c r="AC18" i="7"/>
  <c r="AC14" i="7"/>
  <c r="AC10" i="7"/>
  <c r="AC6" i="7"/>
  <c r="AC42" i="3"/>
  <c r="AC10" i="3"/>
  <c r="AB46" i="7"/>
  <c r="AB42" i="7"/>
  <c r="AB38" i="7"/>
  <c r="AB34" i="7"/>
  <c r="AB30" i="7"/>
  <c r="AB26" i="7"/>
  <c r="AB22" i="7"/>
  <c r="AB18" i="7"/>
  <c r="AB14" i="7"/>
  <c r="AB10" i="7"/>
  <c r="AB6" i="7"/>
  <c r="AA40" i="3"/>
  <c r="AA8" i="3"/>
  <c r="AC31" i="3"/>
  <c r="AC23" i="3"/>
  <c r="AC45" i="7"/>
  <c r="AC41" i="7"/>
  <c r="AC37" i="7"/>
  <c r="AC33" i="7"/>
  <c r="AC29" i="7"/>
  <c r="AC25" i="7"/>
  <c r="AC21" i="7"/>
  <c r="AC17" i="7"/>
  <c r="AC13" i="7"/>
  <c r="AC9" i="7"/>
  <c r="AC5" i="7"/>
  <c r="AC34" i="3"/>
  <c r="AB26" i="3"/>
  <c r="AC7" i="3"/>
  <c r="AB31" i="3"/>
  <c r="AB22" i="3"/>
  <c r="AA43" i="3"/>
  <c r="AB36" i="3"/>
  <c r="AB4" i="3"/>
  <c r="AB9" i="3"/>
  <c r="AB45" i="7"/>
  <c r="AB41" i="7"/>
  <c r="AB37" i="7"/>
  <c r="AB33" i="7"/>
  <c r="AB29" i="7"/>
  <c r="AB25" i="7"/>
  <c r="AB21" i="7"/>
  <c r="AB17" i="7"/>
  <c r="AB13" i="7"/>
  <c r="AB9" i="7"/>
  <c r="AB5" i="7"/>
  <c r="AA32" i="3"/>
  <c r="AA21" i="3"/>
  <c r="AB48" i="3"/>
  <c r="AA45" i="7"/>
  <c r="AA41" i="7"/>
  <c r="AA37" i="7"/>
  <c r="AA33" i="7"/>
  <c r="AA29" i="7"/>
  <c r="AA25" i="7"/>
  <c r="AA21" i="7"/>
  <c r="AA17" i="7"/>
  <c r="AA13" i="7"/>
  <c r="AA9" i="7"/>
  <c r="AA5" i="7"/>
  <c r="AB29" i="3"/>
  <c r="AB18" i="3"/>
  <c r="AA26" i="3"/>
  <c r="AC11" i="3"/>
  <c r="AA11" i="3"/>
  <c r="AA31" i="3"/>
  <c r="AC35" i="3"/>
  <c r="AC22" i="3"/>
  <c r="AA25" i="3"/>
  <c r="AA3" i="3"/>
  <c r="AB27" i="3"/>
  <c r="AA42" i="7"/>
  <c r="AA35" i="3"/>
  <c r="AC28" i="3"/>
  <c r="AC17" i="3"/>
  <c r="AA36" i="3"/>
  <c r="AA30" i="3"/>
  <c r="AC30" i="3"/>
  <c r="AB32" i="3"/>
  <c r="AB19" i="3"/>
  <c r="AB34" i="3"/>
  <c r="AB8" i="3"/>
  <c r="AA38" i="7"/>
  <c r="AC13" i="3"/>
  <c r="AC12" i="3"/>
  <c r="AB12" i="3"/>
  <c r="AA39" i="3"/>
  <c r="AB35" i="3"/>
  <c r="AA34" i="3"/>
  <c r="AC32" i="3"/>
  <c r="AA34" i="7"/>
  <c r="AC15" i="3"/>
  <c r="AB7" i="3"/>
  <c r="AC9" i="3"/>
  <c r="AC43" i="3"/>
  <c r="AB25" i="3"/>
  <c r="AA14" i="3"/>
  <c r="AC33" i="3"/>
  <c r="AA44" i="3"/>
  <c r="AA30" i="7"/>
  <c r="AC4" i="3"/>
  <c r="AA7" i="3"/>
  <c r="AA4" i="3"/>
  <c r="AC8" i="3"/>
  <c r="AB46" i="3"/>
  <c r="AA46" i="3"/>
  <c r="AB40" i="3"/>
  <c r="AA10" i="7"/>
  <c r="AB5" i="3"/>
  <c r="AC45" i="3"/>
  <c r="AC40" i="3"/>
  <c r="AC6" i="3"/>
  <c r="AA33" i="3"/>
  <c r="AC21" i="3"/>
  <c r="AA26" i="7"/>
  <c r="AB30" i="3"/>
  <c r="AA6" i="3"/>
  <c r="AA29" i="3"/>
  <c r="AA22" i="7"/>
  <c r="AA48" i="3"/>
  <c r="AA17" i="3"/>
  <c r="AC38" i="3"/>
  <c r="AB3" i="3"/>
  <c r="AA18" i="7"/>
  <c r="AB37" i="3"/>
  <c r="AA28" i="3"/>
  <c r="AA14" i="7"/>
  <c r="AA16" i="3"/>
  <c r="AA20" i="3"/>
  <c r="AB17" i="3"/>
  <c r="AB24" i="3"/>
  <c r="AA19" i="3"/>
  <c r="AC44" i="3"/>
  <c r="AB44" i="3"/>
  <c r="AB38" i="3"/>
  <c r="AC41" i="3"/>
  <c r="AA6" i="7"/>
  <c r="AC39" i="3"/>
  <c r="AB39" i="3"/>
  <c r="AA38" i="3"/>
  <c r="AB16" i="3"/>
  <c r="AC36" i="3"/>
  <c r="AA46" i="7"/>
  <c r="D20" i="3" l="1"/>
  <c r="D21" i="3"/>
  <c r="D18" i="3"/>
  <c r="C20" i="3"/>
  <c r="D7" i="3"/>
  <c r="C6" i="3"/>
  <c r="E16" i="3"/>
  <c r="C21" i="3"/>
  <c r="D16" i="3"/>
  <c r="C9" i="3"/>
  <c r="D10" i="3"/>
  <c r="C15" i="3"/>
  <c r="C13" i="3"/>
  <c r="D17" i="3"/>
  <c r="D8" i="3"/>
  <c r="C7" i="3"/>
  <c r="C17" i="3"/>
  <c r="D6" i="7"/>
  <c r="C9" i="7"/>
  <c r="D10" i="7"/>
  <c r="C14" i="7"/>
  <c r="D15" i="7"/>
  <c r="C18" i="7"/>
  <c r="D20" i="7"/>
  <c r="E21" i="7"/>
  <c r="D13" i="3"/>
  <c r="C16" i="3"/>
  <c r="C8" i="3"/>
  <c r="AC50" i="3"/>
  <c r="E6" i="3" s="1"/>
  <c r="E20" i="3"/>
  <c r="C8" i="7"/>
  <c r="D9" i="7"/>
  <c r="C13" i="7"/>
  <c r="D14" i="7"/>
  <c r="C17" i="7"/>
  <c r="D18" i="7"/>
  <c r="AC50" i="7"/>
  <c r="E8" i="7" s="1"/>
  <c r="E20" i="7"/>
  <c r="C22" i="7"/>
  <c r="D15" i="3"/>
  <c r="C10" i="3"/>
  <c r="C18" i="3"/>
  <c r="C7" i="7"/>
  <c r="D8" i="7"/>
  <c r="C11" i="7"/>
  <c r="D13" i="7"/>
  <c r="C16" i="7"/>
  <c r="D17" i="7"/>
  <c r="C21" i="7"/>
  <c r="D22" i="7"/>
  <c r="C14" i="3"/>
  <c r="D11" i="3"/>
  <c r="D22" i="3"/>
  <c r="C22" i="3"/>
  <c r="E13" i="3"/>
  <c r="C11" i="3"/>
  <c r="D9" i="3"/>
  <c r="E14" i="3"/>
  <c r="D6" i="3"/>
  <c r="D14" i="3"/>
  <c r="C6" i="7"/>
  <c r="D7" i="7"/>
  <c r="C10" i="7"/>
  <c r="D11" i="7"/>
  <c r="C15" i="7"/>
  <c r="D16" i="7"/>
  <c r="C20" i="7"/>
  <c r="D21" i="7"/>
  <c r="E22" i="7"/>
  <c r="E15" i="3" l="1"/>
  <c r="E9" i="3"/>
  <c r="E16" i="7"/>
  <c r="E15" i="7"/>
  <c r="E11" i="3"/>
  <c r="E17" i="7"/>
  <c r="E13" i="7"/>
  <c r="E10" i="3"/>
  <c r="E22" i="3"/>
  <c r="E11" i="7"/>
  <c r="E7" i="3"/>
  <c r="E18" i="7"/>
  <c r="E10" i="7"/>
  <c r="E18" i="3"/>
  <c r="E14" i="7"/>
  <c r="E17" i="3"/>
  <c r="E7" i="7"/>
  <c r="E8" i="3"/>
  <c r="E6" i="7"/>
  <c r="E21" i="3"/>
  <c r="E9" i="7"/>
</calcChain>
</file>

<file path=xl/sharedStrings.xml><?xml version="1.0" encoding="utf-8"?>
<sst xmlns="http://schemas.openxmlformats.org/spreadsheetml/2006/main" count="50" uniqueCount="25">
  <si>
    <t>Table Type</t>
  </si>
  <si>
    <t>Feature</t>
  </si>
  <si>
    <t>UST 1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</si>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</sst>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/>
    <xf numFmtId="14" fontId="3" fillId="0" borderId="0" xfId="0" applyNumberFormat="1" applyFont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688861</xdr:colOff>
      <xdr:row>2</xdr:row>
      <xdr:rowOff>161584</xdr:rowOff>
    </xdr:from>
    <xdr:to>
      <xdr:col>22</xdr:col>
      <xdr:colOff>468461</xdr:colOff>
      <xdr:row>28</xdr:row>
      <xdr:rowOff>33481</xdr:rowOff>
    </xdr:to>
    <xdr:pic>
      <xdr:nvPicPr>
        <xdr:cNvPr id="3" name="PWSNAP_1738bdb8-e593-4ef0-96cb-61053dfceb57_34bdc71c-d6c4-49c8-b82f-5a2f8b1b7752">
          <a:extLst>
            <a:ext uri="{FF2B5EF4-FFF2-40B4-BE49-F238E27FC236}">
              <a16:creationId xmlns:a16="http://schemas.microsoft.com/office/drawing/2014/main" id="{019412BC-7637-CC23-B28F-9432647CF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1004" y="484754"/>
          <a:ext cx="3912770" cy="407310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</xdr:row>
      <xdr:rowOff>25277</xdr:rowOff>
    </xdr:from>
    <xdr:to>
      <xdr:col>17</xdr:col>
      <xdr:colOff>35165</xdr:colOff>
      <xdr:row>28</xdr:row>
      <xdr:rowOff>59531</xdr:rowOff>
    </xdr:to>
    <xdr:pic>
      <xdr:nvPicPr>
        <xdr:cNvPr id="5" name="PWSNAP_fa067b64-1190-4bc7-90d9-3f479e352d51_5f503f21-bbbf-460c-9d86-64821c4d1d17">
          <a:extLst>
            <a:ext uri="{FF2B5EF4-FFF2-40B4-BE49-F238E27FC236}">
              <a16:creationId xmlns:a16="http://schemas.microsoft.com/office/drawing/2014/main" id="{D7954933-810B-AF3A-0C24-17D7D4CBF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6696" y="510031"/>
          <a:ext cx="3479473" cy="40738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25277</xdr:rowOff>
    </xdr:from>
    <xdr:to>
      <xdr:col>11</xdr:col>
      <xdr:colOff>556656</xdr:colOff>
      <xdr:row>28</xdr:row>
      <xdr:rowOff>59531</xdr:rowOff>
    </xdr:to>
    <xdr:pic>
      <xdr:nvPicPr>
        <xdr:cNvPr id="9" name="PWSNAP_2f6c886a-98e6-4873-95af-a4992aca1f2a_c2696a63-fbc4-442f-babf-91eebfa5dbb4">
          <a:extLst>
            <a:ext uri="{FF2B5EF4-FFF2-40B4-BE49-F238E27FC236}">
              <a16:creationId xmlns:a16="http://schemas.microsoft.com/office/drawing/2014/main" id="{2123BF72-A4B0-9AE9-0469-EE9CF2D5E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527" y="510031"/>
          <a:ext cx="4000964" cy="407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3061</xdr:colOff>
      <xdr:row>2</xdr:row>
      <xdr:rowOff>161584</xdr:rowOff>
    </xdr:from>
    <xdr:to>
      <xdr:col>22</xdr:col>
      <xdr:colOff>468461</xdr:colOff>
      <xdr:row>28</xdr:row>
      <xdr:rowOff>33481</xdr:rowOff>
    </xdr:to>
    <xdr:pic>
      <xdr:nvPicPr>
        <xdr:cNvPr id="6" name="PWSNAP_1738bdb8-e593-4ef0-96cb-61053dfceb57_f18cadf0-d17b-48bd-a9cc-50c792c5cb62">
          <a:extLst>
            <a:ext uri="{FF2B5EF4-FFF2-40B4-BE49-F238E27FC236}">
              <a16:creationId xmlns:a16="http://schemas.microsoft.com/office/drawing/2014/main" id="{2628AF8D-247C-9653-42DA-B48170C44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7461" y="485434"/>
          <a:ext cx="3894400" cy="408194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</xdr:row>
      <xdr:rowOff>25277</xdr:rowOff>
    </xdr:from>
    <xdr:to>
      <xdr:col>17</xdr:col>
      <xdr:colOff>35165</xdr:colOff>
      <xdr:row>28</xdr:row>
      <xdr:rowOff>59531</xdr:rowOff>
    </xdr:to>
    <xdr:pic>
      <xdr:nvPicPr>
        <xdr:cNvPr id="8" name="PWSNAP_fa067b64-1190-4bc7-90d9-3f479e352d51_d7b48d74-e36a-4fc7-9e1f-2b4e9a78e54f">
          <a:extLst>
            <a:ext uri="{FF2B5EF4-FFF2-40B4-BE49-F238E27FC236}">
              <a16:creationId xmlns:a16="http://schemas.microsoft.com/office/drawing/2014/main" id="{AEB7CE4D-A648-A080-E734-E57714123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511052"/>
          <a:ext cx="3464165" cy="408237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25277</xdr:rowOff>
    </xdr:from>
    <xdr:to>
      <xdr:col>11</xdr:col>
      <xdr:colOff>556656</xdr:colOff>
      <xdr:row>28</xdr:row>
      <xdr:rowOff>59531</xdr:rowOff>
    </xdr:to>
    <xdr:pic>
      <xdr:nvPicPr>
        <xdr:cNvPr id="10" name="PWSNAP_2f6c886a-98e6-4873-95af-a4992aca1f2a_3ac532a9-306c-4541-981d-aa96f3a979c0">
          <a:extLst>
            <a:ext uri="{FF2B5EF4-FFF2-40B4-BE49-F238E27FC236}">
              <a16:creationId xmlns:a16="http://schemas.microsoft.com/office/drawing/2014/main" id="{A4D61793-78FF-C63F-B262-28BA1E7BC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511052"/>
          <a:ext cx="3985656" cy="4082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11DF-EA9B-4B87-8EBE-CB8B7D3EF8BA}">
  <dimension ref="A1:AC50"/>
  <sheetViews>
    <sheetView zoomScale="112" zoomScaleNormal="112" workbookViewId="0">
      <selection activeCell="D11" sqref="D11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29" x14ac:dyDescent="0.2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AA1" s="2" t="s">
        <v>0</v>
      </c>
      <c r="AB1" s="2" t="s">
        <v>1</v>
      </c>
      <c r="AC1" s="2"/>
    </row>
    <row r="2" spans="1:29" x14ac:dyDescent="0.2">
      <c r="A2" s="10" t="s">
        <v>20</v>
      </c>
      <c r="B2">
        <v>2410082</v>
      </c>
      <c r="W2" s="11"/>
      <c r="AA2" s="1"/>
      <c r="AB2" s="1"/>
      <c r="AC2" s="1"/>
    </row>
    <row r="3" spans="1:29" x14ac:dyDescent="0.2">
      <c r="A3" s="10" t="s">
        <v>21</v>
      </c>
      <c r="B3" s="5">
        <v>45517</v>
      </c>
      <c r="W3" s="11"/>
      <c r="AA3" s="1" t="str">
        <f>IFERROR(_xll.PW_ReportTableValue("Workspace.Slack.A","Target Position","2410082","Feature (2)","0","5"),"Name")</f>
        <v>Name</v>
      </c>
      <c r="AB3" s="1" t="str">
        <f>IFERROR(_xll.PW_ReportTableValue("Workspace.Slack.A","Target Position","2410082","Feature (2)","1","5"),"Control")</f>
        <v>Control</v>
      </c>
      <c r="AC3" s="1" t="str">
        <f>IFERROR(_xll.PW_ReportTableValue("Workspace.Slack.A","Target Position","2410082","Feature (2)","2","5"),"Meas")</f>
        <v>Meas</v>
      </c>
    </row>
    <row r="4" spans="1:29" x14ac:dyDescent="0.2">
      <c r="A4" s="10"/>
      <c r="W4" s="11"/>
      <c r="AA4" s="1" t="str">
        <f>IFERROR(_xll.PW_ReportTableValue("Workspace.Slack.A","Target Position","2410082","Feature (2)","0","6"),"UST 1")</f>
        <v>UST 1</v>
      </c>
      <c r="AB4" s="1" t="str">
        <f>IFERROR(_xll.PW_ReportTableValue("Workspace.Slack.A","Target Position","2410082","Feature (2)","1","6"),"X")</f>
        <v>X</v>
      </c>
      <c r="AC4" s="3">
        <f>IFERROR(_xll.PW_ReportTableValue("Workspace.Slack.A","Target Position","2410082","Feature (2)","2","6"),-109.27)</f>
        <v>-109.27</v>
      </c>
    </row>
    <row r="5" spans="1:29" x14ac:dyDescent="0.2">
      <c r="A5" s="10"/>
      <c r="C5" t="s">
        <v>17</v>
      </c>
      <c r="D5" t="s">
        <v>19</v>
      </c>
      <c r="E5" t="s">
        <v>18</v>
      </c>
      <c r="W5" s="11"/>
      <c r="AA5" s="1" t="str">
        <f>IFERROR(_xll.PW_ReportTableValue("Workspace.Slack.A","Target Position","2410082","Feature (2)","0","7"),"UST 1")</f>
        <v>UST 1</v>
      </c>
      <c r="AB5" s="1" t="str">
        <f>IFERROR(_xll.PW_ReportTableValue("Workspace.Slack.A","Target Position","2410082","Feature (2)","1","7"),"Y")</f>
        <v>Y</v>
      </c>
      <c r="AC5" s="3">
        <f>IFERROR(_xll.PW_ReportTableValue("Workspace.Slack.A","Target Position","2410082","Feature (2)","2","7"),80.918)</f>
        <v>80.918000000000006</v>
      </c>
    </row>
    <row r="6" spans="1:29" x14ac:dyDescent="0.2">
      <c r="A6" s="10"/>
      <c r="B6" t="s">
        <v>2</v>
      </c>
      <c r="C6" s="3">
        <f>'2410082 Report'!AC4</f>
        <v>-109.27</v>
      </c>
      <c r="D6" s="3">
        <f>'2410082 Report'!AC5</f>
        <v>80.918000000000006</v>
      </c>
      <c r="E6" s="3">
        <f>'2410082 Report'!AC6-'2410082 Report'!$AC$50</f>
        <v>44.660333333333334</v>
      </c>
      <c r="W6" s="11"/>
      <c r="AA6" s="1" t="str">
        <f>IFERROR(_xll.PW_ReportTableValue("Workspace.Slack.A","Target Position","2410082","Feature (2)","0","8"),"UST 1")</f>
        <v>UST 1</v>
      </c>
      <c r="AB6" s="1" t="str">
        <f>IFERROR(_xll.PW_ReportTableValue("Workspace.Slack.A","Target Position","2410082","Feature (2)","1","8"),"Z")</f>
        <v>Z</v>
      </c>
      <c r="AC6" s="3">
        <f>IFERROR(_xll.PW_ReportTableValue("Workspace.Slack.A","Target Position","2410082","Feature (2)","2","8"),44.683)</f>
        <v>44.683</v>
      </c>
    </row>
    <row r="7" spans="1:29" x14ac:dyDescent="0.2">
      <c r="A7" s="10"/>
      <c r="B7" t="s">
        <v>3</v>
      </c>
      <c r="C7" s="3">
        <f>'2410082 Report'!AC7</f>
        <v>-26.742999999999999</v>
      </c>
      <c r="D7" s="3">
        <f>'2410082 Report'!AC8</f>
        <v>80.915000000000006</v>
      </c>
      <c r="E7" s="3">
        <f>'2410082 Report'!AC9-'2410082 Report'!$AC$50</f>
        <v>44.663333333333334</v>
      </c>
      <c r="W7" s="11"/>
      <c r="AA7" s="1" t="str">
        <f>IFERROR(_xll.PW_ReportTableValue("Workspace.Slack.A","Target Position","2410082","Feature (2)","0","9"),"UST 2")</f>
        <v>UST 2</v>
      </c>
      <c r="AB7" s="1" t="str">
        <f>IFERROR(_xll.PW_ReportTableValue("Workspace.Slack.A","Target Position","2410082","Feature (2)","1","9"),"X")</f>
        <v>X</v>
      </c>
      <c r="AC7" s="3">
        <f>IFERROR(_xll.PW_ReportTableValue("Workspace.Slack.A","Target Position","2410082","Feature (2)","2","9"),-26.743)</f>
        <v>-26.742999999999999</v>
      </c>
    </row>
    <row r="8" spans="1:29" x14ac:dyDescent="0.2">
      <c r="A8" s="10"/>
      <c r="B8" t="s">
        <v>4</v>
      </c>
      <c r="C8" s="3">
        <f>'2410082 Report'!AC10</f>
        <v>55.771999999999998</v>
      </c>
      <c r="D8" s="3">
        <f>'2410082 Report'!AC11</f>
        <v>80.894000000000005</v>
      </c>
      <c r="E8" s="3">
        <f>'2410082 Report'!AC12-'2410082 Report'!$AC$50</f>
        <v>44.682333333333332</v>
      </c>
      <c r="W8" s="11"/>
      <c r="AA8" s="1" t="str">
        <f>IFERROR(_xll.PW_ReportTableValue("Workspace.Slack.A","Target Position","2410082","Feature (2)","0","10"),"UST 2")</f>
        <v>UST 2</v>
      </c>
      <c r="AB8" s="1" t="str">
        <f>IFERROR(_xll.PW_ReportTableValue("Workspace.Slack.A","Target Position","2410082","Feature (2)","1","10"),"Y")</f>
        <v>Y</v>
      </c>
      <c r="AC8" s="3">
        <f>IFERROR(_xll.PW_ReportTableValue("Workspace.Slack.A","Target Position","2410082","Feature (2)","2","10"),80.915)</f>
        <v>80.915000000000006</v>
      </c>
    </row>
    <row r="9" spans="1:29" x14ac:dyDescent="0.2">
      <c r="A9" s="10"/>
      <c r="B9" t="s">
        <v>5</v>
      </c>
      <c r="C9" s="3">
        <f>'2410082 Report'!AC13</f>
        <v>-109.121</v>
      </c>
      <c r="D9" s="3">
        <f>'2410082 Report'!AC14</f>
        <v>-81.058000000000007</v>
      </c>
      <c r="E9" s="3">
        <f>'2410082 Report'!AC15-'2410082 Report'!$AC$50</f>
        <v>44.706333333333333</v>
      </c>
      <c r="W9" s="11"/>
      <c r="AA9" s="1" t="str">
        <f>IFERROR(_xll.PW_ReportTableValue("Workspace.Slack.A","Target Position","2410082","Feature (2)","0","11"),"UST 2")</f>
        <v>UST 2</v>
      </c>
      <c r="AB9" s="1" t="str">
        <f>IFERROR(_xll.PW_ReportTableValue("Workspace.Slack.A","Target Position","2410082","Feature (2)","1","11"),"Z")</f>
        <v>Z</v>
      </c>
      <c r="AC9" s="3">
        <f>IFERROR(_xll.PW_ReportTableValue("Workspace.Slack.A","Target Position","2410082","Feature (2)","2","11"),44.686)</f>
        <v>44.686</v>
      </c>
    </row>
    <row r="10" spans="1:29" x14ac:dyDescent="0.2">
      <c r="A10" s="10"/>
      <c r="B10" t="s">
        <v>6</v>
      </c>
      <c r="C10" s="3">
        <f>'2410082 Report'!AC16</f>
        <v>-26.600999999999999</v>
      </c>
      <c r="D10" s="3">
        <f>'2410082 Report'!AC17</f>
        <v>-80.884</v>
      </c>
      <c r="E10" s="3">
        <f>'2410082 Report'!AC18-'2410082 Report'!$AC$50</f>
        <v>44.697333333333333</v>
      </c>
      <c r="W10" s="11"/>
      <c r="AA10" s="1" t="str">
        <f>IFERROR(_xll.PW_ReportTableValue("Workspace.Slack.A","Target Position","2410082","Feature (2)","0","12"),"UST 3")</f>
        <v>UST 3</v>
      </c>
      <c r="AB10" s="1" t="str">
        <f>IFERROR(_xll.PW_ReportTableValue("Workspace.Slack.A","Target Position","2410082","Feature (2)","1","12"),"X")</f>
        <v>X</v>
      </c>
      <c r="AC10" s="3">
        <f>IFERROR(_xll.PW_ReportTableValue("Workspace.Slack.A","Target Position","2410082","Feature (2)","2","12"),55.772)</f>
        <v>55.771999999999998</v>
      </c>
    </row>
    <row r="11" spans="1:29" x14ac:dyDescent="0.2">
      <c r="A11" s="10"/>
      <c r="B11" t="s">
        <v>7</v>
      </c>
      <c r="C11" s="3">
        <f>'2410082 Report'!AC19</f>
        <v>55.914999999999999</v>
      </c>
      <c r="D11" s="3">
        <f>'2410082 Report'!AC20</f>
        <v>-80.718000000000004</v>
      </c>
      <c r="E11" s="3">
        <f>'2410082 Report'!AC21-'2410082 Report'!$AC$50</f>
        <v>44.695333333333338</v>
      </c>
      <c r="W11" s="11"/>
      <c r="AA11" s="1" t="str">
        <f>IFERROR(_xll.PW_ReportTableValue("Workspace.Slack.A","Target Position","2410082","Feature (2)","0","13"),"UST 3")</f>
        <v>UST 3</v>
      </c>
      <c r="AB11" s="1" t="str">
        <f>IFERROR(_xll.PW_ReportTableValue("Workspace.Slack.A","Target Position","2410082","Feature (2)","1","13"),"Y")</f>
        <v>Y</v>
      </c>
      <c r="AC11" s="3">
        <f>IFERROR(_xll.PW_ReportTableValue("Workspace.Slack.A","Target Position","2410082","Feature (2)","2","13"),80.894)</f>
        <v>80.894000000000005</v>
      </c>
    </row>
    <row r="12" spans="1:29" x14ac:dyDescent="0.2">
      <c r="A12" s="10"/>
      <c r="B12" s="6"/>
      <c r="C12" s="6"/>
      <c r="D12" s="6"/>
      <c r="E12" s="6"/>
      <c r="W12" s="11"/>
      <c r="AA12" s="1" t="str">
        <f>IFERROR(_xll.PW_ReportTableValue("Workspace.Slack.A","Target Position","2410082","Feature (2)","0","14"),"UST 3")</f>
        <v>UST 3</v>
      </c>
      <c r="AB12" s="1" t="str">
        <f>IFERROR(_xll.PW_ReportTableValue("Workspace.Slack.A","Target Position","2410082","Feature (2)","1","14"),"Z")</f>
        <v>Z</v>
      </c>
      <c r="AC12" s="3">
        <f>IFERROR(_xll.PW_ReportTableValue("Workspace.Slack.A","Target Position","2410082","Feature (2)","2","14"),44.705)</f>
        <v>44.704999999999998</v>
      </c>
    </row>
    <row r="13" spans="1:29" x14ac:dyDescent="0.2">
      <c r="A13" s="10"/>
      <c r="B13" t="s">
        <v>8</v>
      </c>
      <c r="C13" s="3">
        <f>'2410082 Report'!AC22</f>
        <v>-109.292</v>
      </c>
      <c r="D13" s="3">
        <f>'2410082 Report'!AC23</f>
        <v>80.968000000000004</v>
      </c>
      <c r="E13" s="3">
        <f>'2410082 Report'!AC24-'2410082 Report'!$AC$50</f>
        <v>-44.762666666666668</v>
      </c>
      <c r="W13" s="11"/>
      <c r="AA13" s="1" t="str">
        <f>IFERROR(_xll.PW_ReportTableValue("Workspace.Slack.A","Target Position","2410082","Feature (2)","0","15"),"UST 4")</f>
        <v>UST 4</v>
      </c>
      <c r="AB13" s="1" t="str">
        <f>IFERROR(_xll.PW_ReportTableValue("Workspace.Slack.A","Target Position","2410082","Feature (2)","1","15"),"X")</f>
        <v>X</v>
      </c>
      <c r="AC13" s="3">
        <f>IFERROR(_xll.PW_ReportTableValue("Workspace.Slack.A","Target Position","2410082","Feature (2)","2","15"),-109.121)</f>
        <v>-109.121</v>
      </c>
    </row>
    <row r="14" spans="1:29" x14ac:dyDescent="0.2">
      <c r="A14" s="10"/>
      <c r="B14" t="s">
        <v>9</v>
      </c>
      <c r="C14" s="3">
        <f>'2410082 Report'!AC25</f>
        <v>-26.797999999999998</v>
      </c>
      <c r="D14" s="3">
        <f>'2410082 Report'!AC26</f>
        <v>80.989000000000004</v>
      </c>
      <c r="E14" s="3">
        <f>'2410082 Report'!AC27-'2410082 Report'!$AC$50</f>
        <v>-44.752666666666663</v>
      </c>
      <c r="W14" s="11"/>
      <c r="AA14" s="1" t="str">
        <f>IFERROR(_xll.PW_ReportTableValue("Workspace.Slack.A","Target Position","2410082","Feature (2)","0","16"),"UST 4")</f>
        <v>UST 4</v>
      </c>
      <c r="AB14" s="1" t="str">
        <f>IFERROR(_xll.PW_ReportTableValue("Workspace.Slack.A","Target Position","2410082","Feature (2)","1","16"),"Y")</f>
        <v>Y</v>
      </c>
      <c r="AC14" s="3">
        <f>IFERROR(_xll.PW_ReportTableValue("Workspace.Slack.A","Target Position","2410082","Feature (2)","2","16"),-81.058)</f>
        <v>-81.058000000000007</v>
      </c>
    </row>
    <row r="15" spans="1:29" x14ac:dyDescent="0.2">
      <c r="A15" s="10"/>
      <c r="B15" t="s">
        <v>10</v>
      </c>
      <c r="C15" s="3">
        <f>'2410082 Report'!AC28</f>
        <v>55.726999999999997</v>
      </c>
      <c r="D15" s="3">
        <f>'2410082 Report'!AC29</f>
        <v>80.989999999999995</v>
      </c>
      <c r="E15" s="3">
        <f>'2410082 Report'!AC30-'2410082 Report'!$AC$50</f>
        <v>-44.735666666666667</v>
      </c>
      <c r="W15" s="11"/>
      <c r="AA15" s="1" t="str">
        <f>IFERROR(_xll.PW_ReportTableValue("Workspace.Slack.A","Target Position","2410082","Feature (2)","0","17"),"UST 4")</f>
        <v>UST 4</v>
      </c>
      <c r="AB15" s="1" t="str">
        <f>IFERROR(_xll.PW_ReportTableValue("Workspace.Slack.A","Target Position","2410082","Feature (2)","1","17"),"Z")</f>
        <v>Z</v>
      </c>
      <c r="AC15" s="3">
        <f>IFERROR(_xll.PW_ReportTableValue("Workspace.Slack.A","Target Position","2410082","Feature (2)","2","17"),44.729)</f>
        <v>44.728999999999999</v>
      </c>
    </row>
    <row r="16" spans="1:29" x14ac:dyDescent="0.2">
      <c r="A16" s="10"/>
      <c r="B16" t="s">
        <v>11</v>
      </c>
      <c r="C16" s="3">
        <f>'2410082 Report'!AC31</f>
        <v>-109.139</v>
      </c>
      <c r="D16" s="3">
        <f>'2410082 Report'!AC32</f>
        <v>-81.037000000000006</v>
      </c>
      <c r="E16" s="3">
        <f>'2410082 Report'!AC33-'2410082 Report'!$AC$50</f>
        <v>-44.697666666666663</v>
      </c>
      <c r="W16" s="11"/>
      <c r="AA16" s="1" t="str">
        <f>IFERROR(_xll.PW_ReportTableValue("Workspace.Slack.A","Target Position","2410082","Feature (2)","0","18"),"UST 5")</f>
        <v>UST 5</v>
      </c>
      <c r="AB16" s="1" t="str">
        <f>IFERROR(_xll.PW_ReportTableValue("Workspace.Slack.A","Target Position","2410082","Feature (2)","1","18"),"X")</f>
        <v>X</v>
      </c>
      <c r="AC16" s="3">
        <f>IFERROR(_xll.PW_ReportTableValue("Workspace.Slack.A","Target Position","2410082","Feature (2)","2","18"),-26.601)</f>
        <v>-26.600999999999999</v>
      </c>
    </row>
    <row r="17" spans="1:29" x14ac:dyDescent="0.2">
      <c r="A17" s="10"/>
      <c r="B17" t="s">
        <v>12</v>
      </c>
      <c r="C17" s="3">
        <f>'2410082 Report'!AC34</f>
        <v>-26.638000000000002</v>
      </c>
      <c r="D17" s="3">
        <f>'2410082 Report'!AC35</f>
        <v>-80.822999999999993</v>
      </c>
      <c r="E17" s="3">
        <f>'2410082 Report'!AC36-'2410082 Report'!$AC$50</f>
        <v>-44.717666666666666</v>
      </c>
      <c r="W17" s="11"/>
      <c r="AA17" s="1" t="str">
        <f>IFERROR(_xll.PW_ReportTableValue("Workspace.Slack.A","Target Position","2410082","Feature (2)","0","19"),"UST 5")</f>
        <v>UST 5</v>
      </c>
      <c r="AB17" s="1" t="str">
        <f>IFERROR(_xll.PW_ReportTableValue("Workspace.Slack.A","Target Position","2410082","Feature (2)","1","19"),"Y")</f>
        <v>Y</v>
      </c>
      <c r="AC17" s="3">
        <f>IFERROR(_xll.PW_ReportTableValue("Workspace.Slack.A","Target Position","2410082","Feature (2)","2","19"),-80.884)</f>
        <v>-80.884</v>
      </c>
    </row>
    <row r="18" spans="1:29" x14ac:dyDescent="0.2">
      <c r="A18" s="10"/>
      <c r="B18" t="s">
        <v>13</v>
      </c>
      <c r="C18" s="3">
        <f>'2410082 Report'!AC37</f>
        <v>55.886000000000003</v>
      </c>
      <c r="D18" s="3">
        <f>'2410082 Report'!AC38</f>
        <v>-80.632000000000005</v>
      </c>
      <c r="E18" s="3">
        <f>'2410082 Report'!AC39-'2410082 Report'!$AC$50</f>
        <v>-44.724666666666664</v>
      </c>
      <c r="W18" s="11"/>
      <c r="AA18" s="1" t="str">
        <f>IFERROR(_xll.PW_ReportTableValue("Workspace.Slack.A","Target Position","2410082","Feature (2)","0","20"),"UST 5")</f>
        <v>UST 5</v>
      </c>
      <c r="AB18" s="1" t="str">
        <f>IFERROR(_xll.PW_ReportTableValue("Workspace.Slack.A","Target Position","2410082","Feature (2)","1","20"),"Z")</f>
        <v>Z</v>
      </c>
      <c r="AC18" s="3">
        <f>IFERROR(_xll.PW_ReportTableValue("Workspace.Slack.A","Target Position","2410082","Feature (2)","2","20"),44.72)</f>
        <v>44.72</v>
      </c>
    </row>
    <row r="19" spans="1:29" x14ac:dyDescent="0.2">
      <c r="A19" s="10"/>
      <c r="B19" s="6"/>
      <c r="C19" s="6"/>
      <c r="D19" s="6"/>
      <c r="E19" s="6"/>
      <c r="W19" s="11"/>
      <c r="AA19" s="1" t="str">
        <f>IFERROR(_xll.PW_ReportTableValue("Workspace.Slack.A","Target Position","2410082","Feature (2)","0","21"),"UST 6")</f>
        <v>UST 6</v>
      </c>
      <c r="AB19" s="1" t="str">
        <f>IFERROR(_xll.PW_ReportTableValue("Workspace.Slack.A","Target Position","2410082","Feature (2)","1","21"),"X")</f>
        <v>X</v>
      </c>
      <c r="AC19" s="3">
        <f>IFERROR(_xll.PW_ReportTableValue("Workspace.Slack.A","Target Position","2410082","Feature (2)","2","21"),55.915)</f>
        <v>55.914999999999999</v>
      </c>
    </row>
    <row r="20" spans="1:29" x14ac:dyDescent="0.2">
      <c r="A20" s="10"/>
      <c r="B20" t="s">
        <v>14</v>
      </c>
      <c r="C20" s="3">
        <f>'2410082 Report'!AC40</f>
        <v>-243.11699999999999</v>
      </c>
      <c r="D20" s="3">
        <f>'2410082 Report'!AC41</f>
        <v>186.76</v>
      </c>
      <c r="E20" s="3">
        <f>'2410082 Report'!AC42-'2410082 Report'!$AC$50</f>
        <v>-3.0666666666666668E-2</v>
      </c>
      <c r="W20" s="11"/>
      <c r="AA20" s="1" t="str">
        <f>IFERROR(_xll.PW_ReportTableValue("Workspace.Slack.A","Target Position","2410082","Feature (2)","0","22"),"UST 6")</f>
        <v>UST 6</v>
      </c>
      <c r="AB20" s="1" t="str">
        <f>IFERROR(_xll.PW_ReportTableValue("Workspace.Slack.A","Target Position","2410082","Feature (2)","1","22"),"Y")</f>
        <v>Y</v>
      </c>
      <c r="AC20" s="3">
        <f>IFERROR(_xll.PW_ReportTableValue("Workspace.Slack.A","Target Position","2410082","Feature (2)","2","22"),-80.718)</f>
        <v>-80.718000000000004</v>
      </c>
    </row>
    <row r="21" spans="1:29" x14ac:dyDescent="0.2">
      <c r="A21" s="10"/>
      <c r="B21" t="s">
        <v>15</v>
      </c>
      <c r="C21" s="3">
        <f>'2410082 Report'!AC43</f>
        <v>-242.95400000000001</v>
      </c>
      <c r="D21" s="3">
        <f>'2410082 Report'!AC44</f>
        <v>16.693000000000001</v>
      </c>
      <c r="E21" s="3">
        <f>'2410082 Report'!AC45-'2410082 Report'!$AC$50</f>
        <v>-2.3666666666666669E-2</v>
      </c>
      <c r="W21" s="11"/>
      <c r="AA21" s="1" t="str">
        <f>IFERROR(_xll.PW_ReportTableValue("Workspace.Slack.A","Target Position","2410082","Feature (2)","0","23"),"UST 6")</f>
        <v>UST 6</v>
      </c>
      <c r="AB21" s="1" t="str">
        <f>IFERROR(_xll.PW_ReportTableValue("Workspace.Slack.A","Target Position","2410082","Feature (2)","1","23"),"Z")</f>
        <v>Z</v>
      </c>
      <c r="AC21" s="3">
        <f>IFERROR(_xll.PW_ReportTableValue("Workspace.Slack.A","Target Position","2410082","Feature (2)","2","23"),44.718)</f>
        <v>44.718000000000004</v>
      </c>
    </row>
    <row r="22" spans="1:29" x14ac:dyDescent="0.2">
      <c r="A22" s="10"/>
      <c r="B22" t="s">
        <v>16</v>
      </c>
      <c r="C22" s="3">
        <f>'2410082 Report'!AC46</f>
        <v>-242.77699999999999</v>
      </c>
      <c r="D22" s="3">
        <f>'2410082 Report'!AC47</f>
        <v>-153.32599999999999</v>
      </c>
      <c r="E22" s="3">
        <f>'2410082 Report'!AC48-'2410082 Report'!$AC$50</f>
        <v>5.4333333333333331E-2</v>
      </c>
      <c r="W22" s="11"/>
      <c r="AA22" s="1" t="str">
        <f>IFERROR(_xll.PW_ReportTableValue("Workspace.Slack.A","Target Position","2410082","Feature (2)","0","24"),"DST 7")</f>
        <v>DST 7</v>
      </c>
      <c r="AB22" s="1" t="str">
        <f>IFERROR(_xll.PW_ReportTableValue("Workspace.Slack.A","Target Position","2410082","Feature (2)","1","24"),"X")</f>
        <v>X</v>
      </c>
      <c r="AC22" s="3">
        <f>IFERROR(_xll.PW_ReportTableValue("Workspace.Slack.A","Target Position","2410082","Feature (2)","2","24"),-109.292)</f>
        <v>-109.292</v>
      </c>
    </row>
    <row r="23" spans="1:29" x14ac:dyDescent="0.2">
      <c r="A23" s="10"/>
      <c r="E23" s="4"/>
      <c r="W23" s="11"/>
      <c r="AA23" s="1" t="str">
        <f>IFERROR(_xll.PW_ReportTableValue("Workspace.Slack.A","Target Position","2410082","Feature (2)","0","25"),"DST 7")</f>
        <v>DST 7</v>
      </c>
      <c r="AB23" s="1" t="str">
        <f>IFERROR(_xll.PW_ReportTableValue("Workspace.Slack.A","Target Position","2410082","Feature (2)","1","25"),"Y")</f>
        <v>Y</v>
      </c>
      <c r="AC23" s="3">
        <f>IFERROR(_xll.PW_ReportTableValue("Workspace.Slack.A","Target Position","2410082","Feature (2)","2","25"),80.968)</f>
        <v>80.968000000000004</v>
      </c>
    </row>
    <row r="24" spans="1:29" x14ac:dyDescent="0.2">
      <c r="A24" s="10"/>
      <c r="W24" s="11"/>
      <c r="AA24" s="1" t="str">
        <f>IFERROR(_xll.PW_ReportTableValue("Workspace.Slack.A","Target Position","2410082","Feature (2)","0","26"),"DST 7")</f>
        <v>DST 7</v>
      </c>
      <c r="AB24" s="1" t="str">
        <f>IFERROR(_xll.PW_ReportTableValue("Workspace.Slack.A","Target Position","2410082","Feature (2)","1","26"),"Z")</f>
        <v>Z</v>
      </c>
      <c r="AC24" s="3">
        <f>IFERROR(_xll.PW_ReportTableValue("Workspace.Slack.A","Target Position","2410082","Feature (2)","2","26"),-44.74)</f>
        <v>-44.74</v>
      </c>
    </row>
    <row r="25" spans="1:29" x14ac:dyDescent="0.2">
      <c r="A25" s="10"/>
      <c r="W25" s="11"/>
      <c r="AA25" s="1" t="str">
        <f>IFERROR(_xll.PW_ReportTableValue("Workspace.Slack.A","Target Position","2410082","Feature (2)","0","27"),"DST 8")</f>
        <v>DST 8</v>
      </c>
      <c r="AB25" s="1" t="str">
        <f>IFERROR(_xll.PW_ReportTableValue("Workspace.Slack.A","Target Position","2410082","Feature (2)","1","27"),"X")</f>
        <v>X</v>
      </c>
      <c r="AC25" s="3">
        <f>IFERROR(_xll.PW_ReportTableValue("Workspace.Slack.A","Target Position","2410082","Feature (2)","2","27"),-26.798)</f>
        <v>-26.797999999999998</v>
      </c>
    </row>
    <row r="26" spans="1:29" x14ac:dyDescent="0.2">
      <c r="A26" s="10"/>
      <c r="W26" s="11"/>
      <c r="AA26" s="1" t="str">
        <f>IFERROR(_xll.PW_ReportTableValue("Workspace.Slack.A","Target Position","2410082","Feature (2)","0","28"),"DST 8")</f>
        <v>DST 8</v>
      </c>
      <c r="AB26" s="1" t="str">
        <f>IFERROR(_xll.PW_ReportTableValue("Workspace.Slack.A","Target Position","2410082","Feature (2)","1","28"),"Y")</f>
        <v>Y</v>
      </c>
      <c r="AC26" s="3">
        <f>IFERROR(_xll.PW_ReportTableValue("Workspace.Slack.A","Target Position","2410082","Feature (2)","2","28"),80.989)</f>
        <v>80.989000000000004</v>
      </c>
    </row>
    <row r="27" spans="1:29" x14ac:dyDescent="0.2">
      <c r="A27" s="10"/>
      <c r="W27" s="11"/>
      <c r="AA27" s="1" t="str">
        <f>IFERROR(_xll.PW_ReportTableValue("Workspace.Slack.A","Target Position","2410082","Feature (2)","0","29"),"DST 8")</f>
        <v>DST 8</v>
      </c>
      <c r="AB27" s="1" t="str">
        <f>IFERROR(_xll.PW_ReportTableValue("Workspace.Slack.A","Target Position","2410082","Feature (2)","1","29"),"Z")</f>
        <v>Z</v>
      </c>
      <c r="AC27" s="3">
        <f>IFERROR(_xll.PW_ReportTableValue("Workspace.Slack.A","Target Position","2410082","Feature (2)","2","29"),-44.73)</f>
        <v>-44.73</v>
      </c>
    </row>
    <row r="28" spans="1:29" x14ac:dyDescent="0.2">
      <c r="A28" s="10"/>
      <c r="W28" s="11"/>
      <c r="AA28" s="1" t="str">
        <f>IFERROR(_xll.PW_ReportTableValue("Workspace.Slack.A","Target Position","2410082","Feature (2)","0","30"),"DST 9")</f>
        <v>DST 9</v>
      </c>
      <c r="AB28" s="1" t="str">
        <f>IFERROR(_xll.PW_ReportTableValue("Workspace.Slack.A","Target Position","2410082","Feature (2)","1","30"),"X")</f>
        <v>X</v>
      </c>
      <c r="AC28" s="3">
        <f>IFERROR(_xll.PW_ReportTableValue("Workspace.Slack.A","Target Position","2410082","Feature (2)","2","30"),55.727)</f>
        <v>55.726999999999997</v>
      </c>
    </row>
    <row r="29" spans="1:29" ht="13.5" thickBot="1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4"/>
      <c r="AA29" s="1" t="str">
        <f>IFERROR(_xll.PW_ReportTableValue("Workspace.Slack.A","Target Position","2410082","Feature (2)","0","31"),"DST 9")</f>
        <v>DST 9</v>
      </c>
      <c r="AB29" s="1" t="str">
        <f>IFERROR(_xll.PW_ReportTableValue("Workspace.Slack.A","Target Position","2410082","Feature (2)","1","31"),"Y")</f>
        <v>Y</v>
      </c>
      <c r="AC29" s="3">
        <f>IFERROR(_xll.PW_ReportTableValue("Workspace.Slack.A","Target Position","2410082","Feature (2)","2","31"),80.99)</f>
        <v>80.989999999999995</v>
      </c>
    </row>
    <row r="30" spans="1:29" x14ac:dyDescent="0.2">
      <c r="AA30" s="1" t="str">
        <f>IFERROR(_xll.PW_ReportTableValue("Workspace.Slack.A","Target Position","2410082","Feature (2)","0","32"),"DST 9")</f>
        <v>DST 9</v>
      </c>
      <c r="AB30" s="1" t="str">
        <f>IFERROR(_xll.PW_ReportTableValue("Workspace.Slack.A","Target Position","2410082","Feature (2)","1","32"),"Z")</f>
        <v>Z</v>
      </c>
      <c r="AC30" s="3">
        <f>IFERROR(_xll.PW_ReportTableValue("Workspace.Slack.A","Target Position","2410082","Feature (2)","2","32"),-44.713)</f>
        <v>-44.713000000000001</v>
      </c>
    </row>
    <row r="31" spans="1:29" x14ac:dyDescent="0.2">
      <c r="AA31" s="1" t="str">
        <f>IFERROR(_xll.PW_ReportTableValue("Workspace.Slack.A","Target Position","2410082","Feature (2)","0","33"),"DST 10")</f>
        <v>DST 10</v>
      </c>
      <c r="AB31" s="1" t="str">
        <f>IFERROR(_xll.PW_ReportTableValue("Workspace.Slack.A","Target Position","2410082","Feature (2)","1","33"),"X")</f>
        <v>X</v>
      </c>
      <c r="AC31" s="3">
        <f>IFERROR(_xll.PW_ReportTableValue("Workspace.Slack.A","Target Position","2410082","Feature (2)","2","33"),-109.139)</f>
        <v>-109.139</v>
      </c>
    </row>
    <row r="32" spans="1:29" x14ac:dyDescent="0.2">
      <c r="AA32" s="1" t="str">
        <f>IFERROR(_xll.PW_ReportTableValue("Workspace.Slack.A","Target Position","2410082","Feature (2)","0","34"),"DST 10")</f>
        <v>DST 10</v>
      </c>
      <c r="AB32" s="1" t="str">
        <f>IFERROR(_xll.PW_ReportTableValue("Workspace.Slack.A","Target Position","2410082","Feature (2)","1","34"),"Y")</f>
        <v>Y</v>
      </c>
      <c r="AC32" s="3">
        <f>IFERROR(_xll.PW_ReportTableValue("Workspace.Slack.A","Target Position","2410082","Feature (2)","2","34"),-81.037)</f>
        <v>-81.037000000000006</v>
      </c>
    </row>
    <row r="33" spans="27:29" x14ac:dyDescent="0.2">
      <c r="AA33" s="1" t="str">
        <f>IFERROR(_xll.PW_ReportTableValue("Workspace.Slack.A","Target Position","2410082","Feature (2)","0","35"),"DST 10")</f>
        <v>DST 10</v>
      </c>
      <c r="AB33" s="1" t="str">
        <f>IFERROR(_xll.PW_ReportTableValue("Workspace.Slack.A","Target Position","2410082","Feature (2)","1","35"),"Z")</f>
        <v>Z</v>
      </c>
      <c r="AC33" s="3">
        <f>IFERROR(_xll.PW_ReportTableValue("Workspace.Slack.A","Target Position","2410082","Feature (2)","2","35"),-44.675)</f>
        <v>-44.674999999999997</v>
      </c>
    </row>
    <row r="34" spans="27:29" x14ac:dyDescent="0.2">
      <c r="AA34" s="1" t="str">
        <f>IFERROR(_xll.PW_ReportTableValue("Workspace.Slack.A","Target Position","2410082","Feature (2)","0","36"),"DST 11")</f>
        <v>DST 11</v>
      </c>
      <c r="AB34" s="1" t="str">
        <f>IFERROR(_xll.PW_ReportTableValue("Workspace.Slack.A","Target Position","2410082","Feature (2)","1","36"),"X")</f>
        <v>X</v>
      </c>
      <c r="AC34" s="3">
        <f>IFERROR(_xll.PW_ReportTableValue("Workspace.Slack.A","Target Position","2410082","Feature (2)","2","36"),-26.638)</f>
        <v>-26.638000000000002</v>
      </c>
    </row>
    <row r="35" spans="27:29" x14ac:dyDescent="0.2">
      <c r="AA35" s="1" t="str">
        <f>IFERROR(_xll.PW_ReportTableValue("Workspace.Slack.A","Target Position","2410082","Feature (2)","0","37"),"DST 11")</f>
        <v>DST 11</v>
      </c>
      <c r="AB35" s="1" t="str">
        <f>IFERROR(_xll.PW_ReportTableValue("Workspace.Slack.A","Target Position","2410082","Feature (2)","1","37"),"Y")</f>
        <v>Y</v>
      </c>
      <c r="AC35" s="3">
        <f>IFERROR(_xll.PW_ReportTableValue("Workspace.Slack.A","Target Position","2410082","Feature (2)","2","37"),-80.823)</f>
        <v>-80.822999999999993</v>
      </c>
    </row>
    <row r="36" spans="27:29" x14ac:dyDescent="0.2">
      <c r="AA36" s="1" t="str">
        <f>IFERROR(_xll.PW_ReportTableValue("Workspace.Slack.A","Target Position","2410082","Feature (2)","0","38"),"DST 11")</f>
        <v>DST 11</v>
      </c>
      <c r="AB36" s="1" t="str">
        <f>IFERROR(_xll.PW_ReportTableValue("Workspace.Slack.A","Target Position","2410082","Feature (2)","1","38"),"Z")</f>
        <v>Z</v>
      </c>
      <c r="AC36" s="3">
        <f>IFERROR(_xll.PW_ReportTableValue("Workspace.Slack.A","Target Position","2410082","Feature (2)","2","38"),-44.695)</f>
        <v>-44.695</v>
      </c>
    </row>
    <row r="37" spans="27:29" x14ac:dyDescent="0.2">
      <c r="AA37" s="1" t="str">
        <f>IFERROR(_xll.PW_ReportTableValue("Workspace.Slack.A","Target Position","2410082","Feature (2)","0","39"),"DST 12")</f>
        <v>DST 12</v>
      </c>
      <c r="AB37" s="1" t="str">
        <f>IFERROR(_xll.PW_ReportTableValue("Workspace.Slack.A","Target Position","2410082","Feature (2)","1","39"),"X")</f>
        <v>X</v>
      </c>
      <c r="AC37" s="3">
        <f>IFERROR(_xll.PW_ReportTableValue("Workspace.Slack.A","Target Position","2410082","Feature (2)","2","39"),55.886)</f>
        <v>55.886000000000003</v>
      </c>
    </row>
    <row r="38" spans="27:29" x14ac:dyDescent="0.2">
      <c r="AA38" s="1" t="str">
        <f>IFERROR(_xll.PW_ReportTableValue("Workspace.Slack.A","Target Position","2410082","Feature (2)","0","40"),"DST 12")</f>
        <v>DST 12</v>
      </c>
      <c r="AB38" s="1" t="str">
        <f>IFERROR(_xll.PW_ReportTableValue("Workspace.Slack.A","Target Position","2410082","Feature (2)","1","40"),"Y")</f>
        <v>Y</v>
      </c>
      <c r="AC38" s="3">
        <f>IFERROR(_xll.PW_ReportTableValue("Workspace.Slack.A","Target Position","2410082","Feature (2)","2","40"),-80.632)</f>
        <v>-80.632000000000005</v>
      </c>
    </row>
    <row r="39" spans="27:29" x14ac:dyDescent="0.2">
      <c r="AA39" s="1" t="str">
        <f>IFERROR(_xll.PW_ReportTableValue("Workspace.Slack.A","Target Position","2410082","Feature (2)","0","41"),"DST 12")</f>
        <v>DST 12</v>
      </c>
      <c r="AB39" s="1" t="str">
        <f>IFERROR(_xll.PW_ReportTableValue("Workspace.Slack.A","Target Position","2410082","Feature (2)","1","41"),"Z")</f>
        <v>Z</v>
      </c>
      <c r="AC39" s="3">
        <f>IFERROR(_xll.PW_ReportTableValue("Workspace.Slack.A","Target Position","2410082","Feature (2)","2","41"),-44.702)</f>
        <v>-44.701999999999998</v>
      </c>
    </row>
    <row r="40" spans="27:29" x14ac:dyDescent="0.2">
      <c r="AA40" s="1" t="str">
        <f>IFERROR(_xll.PW_ReportTableValue("Workspace.Slack.A","Target Position","2410082","Feature (2)","0","42"),"CT 13")</f>
        <v>CT 13</v>
      </c>
      <c r="AB40" s="1" t="str">
        <f>IFERROR(_xll.PW_ReportTableValue("Workspace.Slack.A","Target Position","2410082","Feature (2)","1","42"),"X")</f>
        <v>X</v>
      </c>
      <c r="AC40" s="3">
        <f>IFERROR(_xll.PW_ReportTableValue("Workspace.Slack.A","Target Position","2410082","Feature (2)","2","42"),-243.117)</f>
        <v>-243.11699999999999</v>
      </c>
    </row>
    <row r="41" spans="27:29" x14ac:dyDescent="0.2">
      <c r="AA41" s="1" t="str">
        <f>IFERROR(_xll.PW_ReportTableValue("Workspace.Slack.A","Target Position","2410082","Feature (2)","0","43"),"CT 13")</f>
        <v>CT 13</v>
      </c>
      <c r="AB41" s="1" t="str">
        <f>IFERROR(_xll.PW_ReportTableValue("Workspace.Slack.A","Target Position","2410082","Feature (2)","1","43"),"Y")</f>
        <v>Y</v>
      </c>
      <c r="AC41" s="3">
        <f>IFERROR(_xll.PW_ReportTableValue("Workspace.Slack.A","Target Position","2410082","Feature (2)","2","43"),186.76)</f>
        <v>186.76</v>
      </c>
    </row>
    <row r="42" spans="27:29" x14ac:dyDescent="0.2">
      <c r="AA42" s="1" t="str">
        <f>IFERROR(_xll.PW_ReportTableValue("Workspace.Slack.A","Target Position","2410082","Feature (2)","0","44"),"CT 13")</f>
        <v>CT 13</v>
      </c>
      <c r="AB42" s="1" t="str">
        <f>IFERROR(_xll.PW_ReportTableValue("Workspace.Slack.A","Target Position","2410082","Feature (2)","1","44"),"Z")</f>
        <v>Z</v>
      </c>
      <c r="AC42" s="3">
        <f>IFERROR(_xll.PW_ReportTableValue("Workspace.Slack.A","Target Position","2410082","Feature (2)","2","44"),-0.008)</f>
        <v>-8.0000000000000002E-3</v>
      </c>
    </row>
    <row r="43" spans="27:29" x14ac:dyDescent="0.2">
      <c r="AA43" s="1" t="str">
        <f>IFERROR(_xll.PW_ReportTableValue("Workspace.Slack.A","Target Position","2410082","Feature (2)","0","45"),"CT 14")</f>
        <v>CT 14</v>
      </c>
      <c r="AB43" s="1" t="str">
        <f>IFERROR(_xll.PW_ReportTableValue("Workspace.Slack.A","Target Position","2410082","Feature (2)","1","45"),"X")</f>
        <v>X</v>
      </c>
      <c r="AC43" s="3">
        <f>IFERROR(_xll.PW_ReportTableValue("Workspace.Slack.A","Target Position","2410082","Feature (2)","2","45"),-242.954)</f>
        <v>-242.95400000000001</v>
      </c>
    </row>
    <row r="44" spans="27:29" x14ac:dyDescent="0.2">
      <c r="AA44" s="1" t="str">
        <f>IFERROR(_xll.PW_ReportTableValue("Workspace.Slack.A","Target Position","2410082","Feature (2)","0","46"),"CT 14")</f>
        <v>CT 14</v>
      </c>
      <c r="AB44" s="1" t="str">
        <f>IFERROR(_xll.PW_ReportTableValue("Workspace.Slack.A","Target Position","2410082","Feature (2)","1","46"),"Y")</f>
        <v>Y</v>
      </c>
      <c r="AC44" s="3">
        <f>IFERROR(_xll.PW_ReportTableValue("Workspace.Slack.A","Target Position","2410082","Feature (2)","2","46"),16.693)</f>
        <v>16.693000000000001</v>
      </c>
    </row>
    <row r="45" spans="27:29" x14ac:dyDescent="0.2">
      <c r="AA45" s="1" t="str">
        <f>IFERROR(_xll.PW_ReportTableValue("Workspace.Slack.A","Target Position","2410082","Feature (2)","0","47"),"CT 14")</f>
        <v>CT 14</v>
      </c>
      <c r="AB45" s="1" t="str">
        <f>IFERROR(_xll.PW_ReportTableValue("Workspace.Slack.A","Target Position","2410082","Feature (2)","1","47"),"Z")</f>
        <v>Z</v>
      </c>
      <c r="AC45" s="3">
        <f>IFERROR(_xll.PW_ReportTableValue("Workspace.Slack.A","Target Position","2410082","Feature (2)","2","47"),-0.001)</f>
        <v>-1E-3</v>
      </c>
    </row>
    <row r="46" spans="27:29" x14ac:dyDescent="0.2">
      <c r="AA46" s="1" t="str">
        <f>IFERROR(_xll.PW_ReportTableValue("Workspace.Slack.A","Target Position","2410082","Feature (2)","0","48"),"CT 15")</f>
        <v>CT 15</v>
      </c>
      <c r="AB46" s="1" t="str">
        <f>IFERROR(_xll.PW_ReportTableValue("Workspace.Slack.A","Target Position","2410082","Feature (2)","1","48"),"X")</f>
        <v>X</v>
      </c>
      <c r="AC46" s="3">
        <f>IFERROR(_xll.PW_ReportTableValue("Workspace.Slack.A","Target Position","2410082","Feature (2)","2","48"),-242.777)</f>
        <v>-242.77699999999999</v>
      </c>
    </row>
    <row r="47" spans="27:29" x14ac:dyDescent="0.2">
      <c r="AA47" s="1" t="str">
        <f>IFERROR(_xll.PW_ReportTableValue("Workspace.Slack.A","Target Position","2410082","Feature (2)","0","49"),"CT 15")</f>
        <v>CT 15</v>
      </c>
      <c r="AB47" s="1" t="str">
        <f>IFERROR(_xll.PW_ReportTableValue("Workspace.Slack.A","Target Position","2410082","Feature (2)","1","49"),"Y")</f>
        <v>Y</v>
      </c>
      <c r="AC47" s="3">
        <f>IFERROR(_xll.PW_ReportTableValue("Workspace.Slack.A","Target Position","2410082","Feature (2)","2","49"),-153.326)</f>
        <v>-153.32599999999999</v>
      </c>
    </row>
    <row r="48" spans="27:29" x14ac:dyDescent="0.2">
      <c r="AA48" s="1" t="str">
        <f>IFERROR(_xll.PW_ReportTableValue("Workspace.Slack.A","Target Position","2410082","Feature (2)","0","50"),"CT 15")</f>
        <v>CT 15</v>
      </c>
      <c r="AB48" s="1" t="str">
        <f>IFERROR(_xll.PW_ReportTableValue("Workspace.Slack.A","Target Position","2410082","Feature (2)","1","50"),"Z")</f>
        <v>Z</v>
      </c>
      <c r="AC48" s="3">
        <f>IFERROR(_xll.PW_ReportTableValue("Workspace.Slack.A","Target Position","2410082","Feature (2)","2","50"),0.077)</f>
        <v>7.6999999999999999E-2</v>
      </c>
    </row>
    <row r="50" spans="27:29" x14ac:dyDescent="0.2">
      <c r="AA50" s="1" t="s">
        <v>23</v>
      </c>
      <c r="AB50" s="1" t="s">
        <v>24</v>
      </c>
      <c r="AC50" s="4">
        <f>AVERAGE(AC42,AC45,AC48)</f>
        <v>2.2666666666666668E-2</v>
      </c>
    </row>
  </sheetData>
  <pageMargins left="0.7" right="0.7" top="0.75" bottom="0.75" header="0.3" footer="0.3"/>
  <pageSetup paperSize="9" orientation="landscape" r:id="rId1"/>
  <customProperties>
    <customPr name="PolyworksSheet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30AA-45E8-4F27-AA69-C575710446AB}">
  <dimension ref="A1:AC50"/>
  <sheetViews>
    <sheetView tabSelected="1" zoomScale="112" zoomScaleNormal="112" workbookViewId="0">
      <selection activeCell="B4" sqref="B4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29" x14ac:dyDescent="0.2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AA1" s="2" t="s">
        <v>0</v>
      </c>
      <c r="AB1" s="2" t="s">
        <v>1</v>
      </c>
      <c r="AC1" s="2"/>
    </row>
    <row r="2" spans="1:29" x14ac:dyDescent="0.2">
      <c r="A2" s="10" t="s">
        <v>20</v>
      </c>
      <c r="B2">
        <v>2410090</v>
      </c>
      <c r="W2" s="11"/>
      <c r="AA2" s="1"/>
      <c r="AB2" s="1"/>
      <c r="AC2" s="1"/>
    </row>
    <row r="3" spans="1:29" x14ac:dyDescent="0.2">
      <c r="A3" s="10" t="s">
        <v>21</v>
      </c>
      <c r="B3" s="5">
        <v>45540</v>
      </c>
      <c r="W3" s="11"/>
      <c r="AA3" s="1" t="str">
        <f>IFERROR(_xll.PW_ReportTableValue("Workspace.Slack.A","Target Position","2410090","Feature (2)","0","5"),"Name")</f>
        <v>Name</v>
      </c>
      <c r="AB3" s="1" t="str">
        <f>IFERROR(_xll.PW_ReportTableValue("Workspace.Slack.A","Target Position","2410090","Feature (2)","1","5"),"Control")</f>
        <v>Control</v>
      </c>
      <c r="AC3" s="1" t="str">
        <f>IFERROR(_xll.PW_ReportTableValue("Workspace.Slack.A","Target Position","2410090","Feature (2)","2","5"),"Meas")</f>
        <v>Meas</v>
      </c>
    </row>
    <row r="4" spans="1:29" x14ac:dyDescent="0.2">
      <c r="A4" s="10"/>
      <c r="D4" s="4"/>
      <c r="W4" s="11"/>
      <c r="AA4" s="1" t="str">
        <f>IFERROR(_xll.PW_ReportTableValue("Workspace.Slack.A","Target Position","2410090","Feature (2)","0","6"),"UST 1")</f>
        <v>UST 1</v>
      </c>
      <c r="AB4" s="1" t="str">
        <f>IFERROR(_xll.PW_ReportTableValue("Workspace.Slack.A","Target Position","2410090","Feature (2)","1","6"),"X")</f>
        <v>X</v>
      </c>
      <c r="AC4" s="3">
        <f>IFERROR(_xll.PW_ReportTableValue("Workspace.Slack.A","Target Position","2410090","Feature (2)","2","6"),-108.733)</f>
        <v>-108.733</v>
      </c>
    </row>
    <row r="5" spans="1:29" x14ac:dyDescent="0.2">
      <c r="A5" s="10"/>
      <c r="C5" t="s">
        <v>17</v>
      </c>
      <c r="D5" t="s">
        <v>19</v>
      </c>
      <c r="E5" t="s">
        <v>18</v>
      </c>
      <c r="W5" s="11"/>
      <c r="AA5" s="1" t="str">
        <f>IFERROR(_xll.PW_ReportTableValue("Workspace.Slack.A","Target Position","2410090","Feature (2)","0","7"),"UST 1")</f>
        <v>UST 1</v>
      </c>
      <c r="AB5" s="1" t="str">
        <f>IFERROR(_xll.PW_ReportTableValue("Workspace.Slack.A","Target Position","2410090","Feature (2)","1","7"),"Y")</f>
        <v>Y</v>
      </c>
      <c r="AC5" s="3">
        <f>IFERROR(_xll.PW_ReportTableValue("Workspace.Slack.A","Target Position","2410090","Feature (2)","2","7"),80.059)</f>
        <v>80.058999999999997</v>
      </c>
    </row>
    <row r="6" spans="1:29" x14ac:dyDescent="0.2">
      <c r="A6" s="10"/>
      <c r="B6" t="s">
        <v>2</v>
      </c>
      <c r="C6" s="3">
        <f>'2410090 Report'!AC4</f>
        <v>-108.733</v>
      </c>
      <c r="D6" s="3">
        <f>'2410090 Report'!AC5</f>
        <v>80.058999999999997</v>
      </c>
      <c r="E6" s="3">
        <f>'2410090 Report'!AC6-'2410090 Report'!$AC$50</f>
        <v>44.564999999999998</v>
      </c>
      <c r="W6" s="11"/>
      <c r="AA6" s="1" t="str">
        <f>IFERROR(_xll.PW_ReportTableValue("Workspace.Slack.A","Target Position","2410090","Feature (2)","0","8"),"UST 1")</f>
        <v>UST 1</v>
      </c>
      <c r="AB6" s="1" t="str">
        <f>IFERROR(_xll.PW_ReportTableValue("Workspace.Slack.A","Target Position","2410090","Feature (2)","1","8"),"Z")</f>
        <v>Z</v>
      </c>
      <c r="AC6" s="3">
        <f>IFERROR(_xll.PW_ReportTableValue("Workspace.Slack.A","Target Position","2410090","Feature (2)","2","8"),44.681)</f>
        <v>44.680999999999997</v>
      </c>
    </row>
    <row r="7" spans="1:29" x14ac:dyDescent="0.2">
      <c r="A7" s="10"/>
      <c r="B7" t="s">
        <v>3</v>
      </c>
      <c r="C7" s="3">
        <f>'2410090 Report'!AC7</f>
        <v>-26.224</v>
      </c>
      <c r="D7" s="3">
        <f>'2410090 Report'!AC8</f>
        <v>80.037000000000006</v>
      </c>
      <c r="E7" s="3">
        <f>'2410090 Report'!AC9-'2410090 Report'!$AC$50</f>
        <v>44.587000000000003</v>
      </c>
      <c r="W7" s="11"/>
      <c r="AA7" s="1" t="str">
        <f>IFERROR(_xll.PW_ReportTableValue("Workspace.Slack.A","Target Position","2410090","Feature (2)","0","9"),"UST 2")</f>
        <v>UST 2</v>
      </c>
      <c r="AB7" s="1" t="str">
        <f>IFERROR(_xll.PW_ReportTableValue("Workspace.Slack.A","Target Position","2410090","Feature (2)","1","9"),"X")</f>
        <v>X</v>
      </c>
      <c r="AC7" s="3">
        <f>IFERROR(_xll.PW_ReportTableValue("Workspace.Slack.A","Target Position","2410090","Feature (2)","2","9"),-26.224)</f>
        <v>-26.224</v>
      </c>
    </row>
    <row r="8" spans="1:29" x14ac:dyDescent="0.2">
      <c r="A8" s="10"/>
      <c r="B8" t="s">
        <v>4</v>
      </c>
      <c r="C8" s="3">
        <f>'2410090 Report'!AC10</f>
        <v>56.301000000000002</v>
      </c>
      <c r="D8" s="3">
        <f>'2410090 Report'!AC11</f>
        <v>80.010999999999996</v>
      </c>
      <c r="E8" s="3">
        <f>'2410090 Report'!AC12-'2410090 Report'!$AC$50</f>
        <v>44.606999999999999</v>
      </c>
      <c r="W8" s="11"/>
      <c r="AA8" s="1" t="str">
        <f>IFERROR(_xll.PW_ReportTableValue("Workspace.Slack.A","Target Position","2410090","Feature (2)","0","10"),"UST 2")</f>
        <v>UST 2</v>
      </c>
      <c r="AB8" s="1" t="str">
        <f>IFERROR(_xll.PW_ReportTableValue("Workspace.Slack.A","Target Position","2410090","Feature (2)","1","10"),"Y")</f>
        <v>Y</v>
      </c>
      <c r="AC8" s="3">
        <f>IFERROR(_xll.PW_ReportTableValue("Workspace.Slack.A","Target Position","2410090","Feature (2)","2","10"),80.037)</f>
        <v>80.037000000000006</v>
      </c>
    </row>
    <row r="9" spans="1:29" x14ac:dyDescent="0.2">
      <c r="A9" s="10"/>
      <c r="B9" t="s">
        <v>5</v>
      </c>
      <c r="C9" s="3">
        <f>'2410090 Report'!AC13</f>
        <v>-108.61</v>
      </c>
      <c r="D9" s="3">
        <f>'2410090 Report'!AC14</f>
        <v>-81.694000000000003</v>
      </c>
      <c r="E9" s="3">
        <f>'2410090 Report'!AC15-'2410090 Report'!$AC$50</f>
        <v>44.652000000000001</v>
      </c>
      <c r="W9" s="11"/>
      <c r="AA9" s="1" t="str">
        <f>IFERROR(_xll.PW_ReportTableValue("Workspace.Slack.A","Target Position","2410090","Feature (2)","0","11"),"UST 2")</f>
        <v>UST 2</v>
      </c>
      <c r="AB9" s="1" t="str">
        <f>IFERROR(_xll.PW_ReportTableValue("Workspace.Slack.A","Target Position","2410090","Feature (2)","1","11"),"Z")</f>
        <v>Z</v>
      </c>
      <c r="AC9" s="3">
        <f>IFERROR(_xll.PW_ReportTableValue("Workspace.Slack.A","Target Position","2410090","Feature (2)","2","11"),44.703)</f>
        <v>44.703000000000003</v>
      </c>
    </row>
    <row r="10" spans="1:29" x14ac:dyDescent="0.2">
      <c r="A10" s="10"/>
      <c r="B10" t="s">
        <v>6</v>
      </c>
      <c r="C10" s="3">
        <f>'2410090 Report'!AC16</f>
        <v>-26.114999999999998</v>
      </c>
      <c r="D10" s="3">
        <f>'2410090 Report'!AC17</f>
        <v>-81.557000000000002</v>
      </c>
      <c r="E10" s="3">
        <f>'2410090 Report'!AC18-'2410090 Report'!$AC$50</f>
        <v>44.648000000000003</v>
      </c>
      <c r="W10" s="11"/>
      <c r="AA10" s="1" t="str">
        <f>IFERROR(_xll.PW_ReportTableValue("Workspace.Slack.A","Target Position","2410090","Feature (2)","0","12"),"UST 3")</f>
        <v>UST 3</v>
      </c>
      <c r="AB10" s="1" t="str">
        <f>IFERROR(_xll.PW_ReportTableValue("Workspace.Slack.A","Target Position","2410090","Feature (2)","1","12"),"X")</f>
        <v>X</v>
      </c>
      <c r="AC10" s="3">
        <f>IFERROR(_xll.PW_ReportTableValue("Workspace.Slack.A","Target Position","2410090","Feature (2)","2","12"),56.301)</f>
        <v>56.301000000000002</v>
      </c>
    </row>
    <row r="11" spans="1:29" x14ac:dyDescent="0.2">
      <c r="A11" s="10"/>
      <c r="B11" t="s">
        <v>7</v>
      </c>
      <c r="C11" s="3">
        <f>'2410090 Report'!AC19</f>
        <v>56.34</v>
      </c>
      <c r="D11" s="3">
        <f>'2410090 Report'!AC20</f>
        <v>-81.429000000000002</v>
      </c>
      <c r="E11" s="3">
        <f>'2410090 Report'!AC21-'2410090 Report'!$AC$50</f>
        <v>44.628999999999998</v>
      </c>
      <c r="W11" s="11"/>
      <c r="AA11" s="1" t="str">
        <f>IFERROR(_xll.PW_ReportTableValue("Workspace.Slack.A","Target Position","2410090","Feature (2)","0","13"),"UST 3")</f>
        <v>UST 3</v>
      </c>
      <c r="AB11" s="1" t="str">
        <f>IFERROR(_xll.PW_ReportTableValue("Workspace.Slack.A","Target Position","2410090","Feature (2)","1","13"),"Y")</f>
        <v>Y</v>
      </c>
      <c r="AC11" s="3">
        <f>IFERROR(_xll.PW_ReportTableValue("Workspace.Slack.A","Target Position","2410090","Feature (2)","2","13"),80.011)</f>
        <v>80.010999999999996</v>
      </c>
    </row>
    <row r="12" spans="1:29" x14ac:dyDescent="0.2">
      <c r="A12" s="10"/>
      <c r="B12" s="6"/>
      <c r="C12" s="6"/>
      <c r="D12" s="6"/>
      <c r="E12" s="6"/>
      <c r="W12" s="11"/>
      <c r="AA12" s="1" t="str">
        <f>IFERROR(_xll.PW_ReportTableValue("Workspace.Slack.A","Target Position","2410090","Feature (2)","0","14"),"UST 3")</f>
        <v>UST 3</v>
      </c>
      <c r="AB12" s="1" t="str">
        <f>IFERROR(_xll.PW_ReportTableValue("Workspace.Slack.A","Target Position","2410090","Feature (2)","1","14"),"Z")</f>
        <v>Z</v>
      </c>
      <c r="AC12" s="3">
        <f>IFERROR(_xll.PW_ReportTableValue("Workspace.Slack.A","Target Position","2410090","Feature (2)","2","14"),44.723)</f>
        <v>44.722999999999999</v>
      </c>
    </row>
    <row r="13" spans="1:29" x14ac:dyDescent="0.2">
      <c r="A13" s="10"/>
      <c r="B13" t="s">
        <v>8</v>
      </c>
      <c r="C13" s="3">
        <f>'2410090 Report'!AC22</f>
        <v>-108.744</v>
      </c>
      <c r="D13" s="3">
        <f>'2410090 Report'!AC23</f>
        <v>80.078000000000003</v>
      </c>
      <c r="E13" s="3">
        <f>'2410090 Report'!AC24-'2410090 Report'!$AC$50</f>
        <v>-44.845999999999997</v>
      </c>
      <c r="W13" s="11"/>
      <c r="AA13" s="1" t="str">
        <f>IFERROR(_xll.PW_ReportTableValue("Workspace.Slack.A","Target Position","2410090","Feature (2)","0","15"),"UST 4")</f>
        <v>UST 4</v>
      </c>
      <c r="AB13" s="1" t="str">
        <f>IFERROR(_xll.PW_ReportTableValue("Workspace.Slack.A","Target Position","2410090","Feature (2)","1","15"),"X")</f>
        <v>X</v>
      </c>
      <c r="AC13" s="3">
        <f>IFERROR(_xll.PW_ReportTableValue("Workspace.Slack.A","Target Position","2410090","Feature (2)","2","15"),-108.61)</f>
        <v>-108.61</v>
      </c>
    </row>
    <row r="14" spans="1:29" x14ac:dyDescent="0.2">
      <c r="A14" s="10"/>
      <c r="B14" t="s">
        <v>9</v>
      </c>
      <c r="C14" s="3">
        <f>'2410090 Report'!AC25</f>
        <v>-26.22</v>
      </c>
      <c r="D14" s="3">
        <f>'2410090 Report'!AC26</f>
        <v>80.084000000000003</v>
      </c>
      <c r="E14" s="3">
        <f>'2410090 Report'!AC27-'2410090 Report'!$AC$50</f>
        <v>-44.834000000000003</v>
      </c>
      <c r="W14" s="11"/>
      <c r="AA14" s="1" t="str">
        <f>IFERROR(_xll.PW_ReportTableValue("Workspace.Slack.A","Target Position","2410090","Feature (2)","0","16"),"UST 4")</f>
        <v>UST 4</v>
      </c>
      <c r="AB14" s="1" t="str">
        <f>IFERROR(_xll.PW_ReportTableValue("Workspace.Slack.A","Target Position","2410090","Feature (2)","1","16"),"Y")</f>
        <v>Y</v>
      </c>
      <c r="AC14" s="3">
        <f>IFERROR(_xll.PW_ReportTableValue("Workspace.Slack.A","Target Position","2410090","Feature (2)","2","16"),-81.694)</f>
        <v>-81.694000000000003</v>
      </c>
    </row>
    <row r="15" spans="1:29" x14ac:dyDescent="0.2">
      <c r="A15" s="10"/>
      <c r="B15" t="s">
        <v>10</v>
      </c>
      <c r="C15" s="3">
        <f>'2410090 Report'!AC28</f>
        <v>56.289000000000001</v>
      </c>
      <c r="D15" s="3">
        <f>'2410090 Report'!AC29</f>
        <v>80.085999999999999</v>
      </c>
      <c r="E15" s="3">
        <f>'2410090 Report'!AC30-'2410090 Report'!$AC$50</f>
        <v>-44.807000000000002</v>
      </c>
      <c r="W15" s="11"/>
      <c r="AA15" s="1" t="str">
        <f>IFERROR(_xll.PW_ReportTableValue("Workspace.Slack.A","Target Position","2410090","Feature (2)","0","17"),"UST 4")</f>
        <v>UST 4</v>
      </c>
      <c r="AB15" s="1" t="str">
        <f>IFERROR(_xll.PW_ReportTableValue("Workspace.Slack.A","Target Position","2410090","Feature (2)","1","17"),"Z")</f>
        <v>Z</v>
      </c>
      <c r="AC15" s="3">
        <f>IFERROR(_xll.PW_ReportTableValue("Workspace.Slack.A","Target Position","2410090","Feature (2)","2","17"),44.768)</f>
        <v>44.768000000000001</v>
      </c>
    </row>
    <row r="16" spans="1:29" x14ac:dyDescent="0.2">
      <c r="A16" s="10"/>
      <c r="B16" t="s">
        <v>11</v>
      </c>
      <c r="C16" s="3">
        <f>'2410090 Report'!AC31</f>
        <v>-108.596</v>
      </c>
      <c r="D16" s="3">
        <f>'2410090 Report'!AC32</f>
        <v>-81.709000000000003</v>
      </c>
      <c r="E16" s="3">
        <f>'2410090 Report'!AC33-'2410090 Report'!$AC$50</f>
        <v>-44.81</v>
      </c>
      <c r="W16" s="11"/>
      <c r="AA16" s="1" t="str">
        <f>IFERROR(_xll.PW_ReportTableValue("Workspace.Slack.A","Target Position","2410090","Feature (2)","0","18"),"UST 5")</f>
        <v>UST 5</v>
      </c>
      <c r="AB16" s="1" t="str">
        <f>IFERROR(_xll.PW_ReportTableValue("Workspace.Slack.A","Target Position","2410090","Feature (2)","1","18"),"X")</f>
        <v>X</v>
      </c>
      <c r="AC16" s="3">
        <f>IFERROR(_xll.PW_ReportTableValue("Workspace.Slack.A","Target Position","2410090","Feature (2)","2","18"),-26.115)</f>
        <v>-26.114999999999998</v>
      </c>
    </row>
    <row r="17" spans="1:29" x14ac:dyDescent="0.2">
      <c r="A17" s="10"/>
      <c r="B17" t="s">
        <v>12</v>
      </c>
      <c r="C17" s="3">
        <f>'2410090 Report'!AC34</f>
        <v>-26.079000000000001</v>
      </c>
      <c r="D17" s="3">
        <f>'2410090 Report'!AC35</f>
        <v>-81.534999999999997</v>
      </c>
      <c r="E17" s="3">
        <f>'2410090 Report'!AC36-'2410090 Report'!$AC$50</f>
        <v>-44.828000000000003</v>
      </c>
      <c r="W17" s="11"/>
      <c r="AA17" s="1" t="str">
        <f>IFERROR(_xll.PW_ReportTableValue("Workspace.Slack.A","Target Position","2410090","Feature (2)","0","19"),"UST 5")</f>
        <v>UST 5</v>
      </c>
      <c r="AB17" s="1" t="str">
        <f>IFERROR(_xll.PW_ReportTableValue("Workspace.Slack.A","Target Position","2410090","Feature (2)","1","19"),"Y")</f>
        <v>Y</v>
      </c>
      <c r="AC17" s="3">
        <f>IFERROR(_xll.PW_ReportTableValue("Workspace.Slack.A","Target Position","2410090","Feature (2)","2","19"),-81.557)</f>
        <v>-81.557000000000002</v>
      </c>
    </row>
    <row r="18" spans="1:29" x14ac:dyDescent="0.2">
      <c r="A18" s="10"/>
      <c r="B18" t="s">
        <v>13</v>
      </c>
      <c r="C18" s="3">
        <f>'2410090 Report'!AC37</f>
        <v>56.448999999999998</v>
      </c>
      <c r="D18" s="3">
        <f>'2410090 Report'!AC38</f>
        <v>-81.355000000000004</v>
      </c>
      <c r="E18" s="3">
        <f>'2410090 Report'!AC39-'2410090 Report'!$AC$50</f>
        <v>-44.832999999999998</v>
      </c>
      <c r="W18" s="11"/>
      <c r="AA18" s="1" t="str">
        <f>IFERROR(_xll.PW_ReportTableValue("Workspace.Slack.A","Target Position","2410090","Feature (2)","0","20"),"UST 5")</f>
        <v>UST 5</v>
      </c>
      <c r="AB18" s="1" t="str">
        <f>IFERROR(_xll.PW_ReportTableValue("Workspace.Slack.A","Target Position","2410090","Feature (2)","1","20"),"Z")</f>
        <v>Z</v>
      </c>
      <c r="AC18" s="3">
        <f>IFERROR(_xll.PW_ReportTableValue("Workspace.Slack.A","Target Position","2410090","Feature (2)","2","20"),44.764)</f>
        <v>44.764000000000003</v>
      </c>
    </row>
    <row r="19" spans="1:29" x14ac:dyDescent="0.2">
      <c r="A19" s="10"/>
      <c r="B19" s="6"/>
      <c r="C19" s="6"/>
      <c r="D19" s="6"/>
      <c r="E19" s="6"/>
      <c r="W19" s="11"/>
      <c r="AA19" s="1" t="str">
        <f>IFERROR(_xll.PW_ReportTableValue("Workspace.Slack.A","Target Position","2410090","Feature (2)","0","21"),"UST 6")</f>
        <v>UST 6</v>
      </c>
      <c r="AB19" s="1" t="str">
        <f>IFERROR(_xll.PW_ReportTableValue("Workspace.Slack.A","Target Position","2410090","Feature (2)","1","21"),"X")</f>
        <v>X</v>
      </c>
      <c r="AC19" s="3">
        <f>IFERROR(_xll.PW_ReportTableValue("Workspace.Slack.A","Target Position","2410090","Feature (2)","2","21"),56.34)</f>
        <v>56.34</v>
      </c>
    </row>
    <row r="20" spans="1:29" x14ac:dyDescent="0.2">
      <c r="A20" s="10"/>
      <c r="B20" t="s">
        <v>14</v>
      </c>
      <c r="C20" s="3">
        <f>'2410090 Report'!AC40</f>
        <v>-242.58500000000001</v>
      </c>
      <c r="D20" s="3">
        <f>'2410090 Report'!AC41</f>
        <v>186.08</v>
      </c>
      <c r="E20" s="3">
        <f>'2410090 Report'!AC42-'2410090 Report'!$AC$50</f>
        <v>0.115</v>
      </c>
      <c r="W20" s="11"/>
      <c r="AA20" s="1" t="str">
        <f>IFERROR(_xll.PW_ReportTableValue("Workspace.Slack.A","Target Position","2410090","Feature (2)","0","22"),"UST 6")</f>
        <v>UST 6</v>
      </c>
      <c r="AB20" s="1" t="str">
        <f>IFERROR(_xll.PW_ReportTableValue("Workspace.Slack.A","Target Position","2410090","Feature (2)","1","22"),"Y")</f>
        <v>Y</v>
      </c>
      <c r="AC20" s="3">
        <f>IFERROR(_xll.PW_ReportTableValue("Workspace.Slack.A","Target Position","2410090","Feature (2)","2","22"),-81.429)</f>
        <v>-81.429000000000002</v>
      </c>
    </row>
    <row r="21" spans="1:29" x14ac:dyDescent="0.2">
      <c r="A21" s="10"/>
      <c r="B21" t="s">
        <v>15</v>
      </c>
      <c r="C21" s="3">
        <f>'2410090 Report'!AC43</f>
        <v>-242.41200000000001</v>
      </c>
      <c r="D21" s="3">
        <f>'2410090 Report'!AC44</f>
        <v>16.059000000000001</v>
      </c>
      <c r="E21" s="3">
        <f>'2410090 Report'!AC45-'2410090 Report'!$AC$50</f>
        <v>-8.0000000000000071E-3</v>
      </c>
      <c r="W21" s="11"/>
      <c r="AA21" s="1" t="str">
        <f>IFERROR(_xll.PW_ReportTableValue("Workspace.Slack.A","Target Position","2410090","Feature (2)","0","23"),"UST 6")</f>
        <v>UST 6</v>
      </c>
      <c r="AB21" s="1" t="str">
        <f>IFERROR(_xll.PW_ReportTableValue("Workspace.Slack.A","Target Position","2410090","Feature (2)","1","23"),"Z")</f>
        <v>Z</v>
      </c>
      <c r="AC21" s="3">
        <f>IFERROR(_xll.PW_ReportTableValue("Workspace.Slack.A","Target Position","2410090","Feature (2)","2","23"),44.745)</f>
        <v>44.744999999999997</v>
      </c>
    </row>
    <row r="22" spans="1:29" x14ac:dyDescent="0.2">
      <c r="A22" s="10"/>
      <c r="B22" t="s">
        <v>16</v>
      </c>
      <c r="C22" s="3">
        <f>'2410090 Report'!AC46</f>
        <v>-242.21799999999999</v>
      </c>
      <c r="D22" s="3">
        <f>'2410090 Report'!AC47</f>
        <v>-153.96100000000001</v>
      </c>
      <c r="E22" s="3">
        <f>'2410090 Report'!AC48-'2410090 Report'!$AC$50</f>
        <v>-0.10700000000000001</v>
      </c>
      <c r="W22" s="11"/>
      <c r="AA22" s="1" t="str">
        <f>IFERROR(_xll.PW_ReportTableValue("Workspace.Slack.A","Target Position","2410090","Feature (2)","0","24"),"DST 7")</f>
        <v>DST 7</v>
      </c>
      <c r="AB22" s="1" t="str">
        <f>IFERROR(_xll.PW_ReportTableValue("Workspace.Slack.A","Target Position","2410090","Feature (2)","1","24"),"X")</f>
        <v>X</v>
      </c>
      <c r="AC22" s="3">
        <f>IFERROR(_xll.PW_ReportTableValue("Workspace.Slack.A","Target Position","2410090","Feature (2)","2","24"),-108.744)</f>
        <v>-108.744</v>
      </c>
    </row>
    <row r="23" spans="1:29" x14ac:dyDescent="0.2">
      <c r="A23" s="10"/>
      <c r="E23" s="4"/>
      <c r="W23" s="11"/>
      <c r="AA23" s="1" t="str">
        <f>IFERROR(_xll.PW_ReportTableValue("Workspace.Slack.A","Target Position","2410090","Feature (2)","0","25"),"DST 7")</f>
        <v>DST 7</v>
      </c>
      <c r="AB23" s="1" t="str">
        <f>IFERROR(_xll.PW_ReportTableValue("Workspace.Slack.A","Target Position","2410090","Feature (2)","1","25"),"Y")</f>
        <v>Y</v>
      </c>
      <c r="AC23" s="3">
        <f>IFERROR(_xll.PW_ReportTableValue("Workspace.Slack.A","Target Position","2410090","Feature (2)","2","25"),80.078)</f>
        <v>80.078000000000003</v>
      </c>
    </row>
    <row r="24" spans="1:29" x14ac:dyDescent="0.2">
      <c r="A24" s="10"/>
      <c r="W24" s="11"/>
      <c r="AA24" s="1" t="str">
        <f>IFERROR(_xll.PW_ReportTableValue("Workspace.Slack.A","Target Position","2410090","Feature (2)","0","26"),"DST 7")</f>
        <v>DST 7</v>
      </c>
      <c r="AB24" s="1" t="str">
        <f>IFERROR(_xll.PW_ReportTableValue("Workspace.Slack.A","Target Position","2410090","Feature (2)","1","26"),"Z")</f>
        <v>Z</v>
      </c>
      <c r="AC24" s="3">
        <f>IFERROR(_xll.PW_ReportTableValue("Workspace.Slack.A","Target Position","2410090","Feature (2)","2","26"),-44.73)</f>
        <v>-44.73</v>
      </c>
    </row>
    <row r="25" spans="1:29" x14ac:dyDescent="0.2">
      <c r="A25" s="10"/>
      <c r="W25" s="11"/>
      <c r="AA25" s="1" t="str">
        <f>IFERROR(_xll.PW_ReportTableValue("Workspace.Slack.A","Target Position","2410090","Feature (2)","0","27"),"DST 8")</f>
        <v>DST 8</v>
      </c>
      <c r="AB25" s="1" t="str">
        <f>IFERROR(_xll.PW_ReportTableValue("Workspace.Slack.A","Target Position","2410090","Feature (2)","1","27"),"X")</f>
        <v>X</v>
      </c>
      <c r="AC25" s="3">
        <f>IFERROR(_xll.PW_ReportTableValue("Workspace.Slack.A","Target Position","2410090","Feature (2)","2","27"),-26.22)</f>
        <v>-26.22</v>
      </c>
    </row>
    <row r="26" spans="1:29" x14ac:dyDescent="0.2">
      <c r="A26" s="10"/>
      <c r="W26" s="11"/>
      <c r="AA26" s="1" t="str">
        <f>IFERROR(_xll.PW_ReportTableValue("Workspace.Slack.A","Target Position","2410090","Feature (2)","0","28"),"DST 8")</f>
        <v>DST 8</v>
      </c>
      <c r="AB26" s="1" t="str">
        <f>IFERROR(_xll.PW_ReportTableValue("Workspace.Slack.A","Target Position","2410090","Feature (2)","1","28"),"Y")</f>
        <v>Y</v>
      </c>
      <c r="AC26" s="3">
        <f>IFERROR(_xll.PW_ReportTableValue("Workspace.Slack.A","Target Position","2410090","Feature (2)","2","28"),80.084)</f>
        <v>80.084000000000003</v>
      </c>
    </row>
    <row r="27" spans="1:29" x14ac:dyDescent="0.2">
      <c r="A27" s="10"/>
      <c r="W27" s="11"/>
      <c r="AA27" s="1" t="str">
        <f>IFERROR(_xll.PW_ReportTableValue("Workspace.Slack.A","Target Position","2410090","Feature (2)","0","29"),"DST 8")</f>
        <v>DST 8</v>
      </c>
      <c r="AB27" s="1" t="str">
        <f>IFERROR(_xll.PW_ReportTableValue("Workspace.Slack.A","Target Position","2410090","Feature (2)","1","29"),"Z")</f>
        <v>Z</v>
      </c>
      <c r="AC27" s="3">
        <f>IFERROR(_xll.PW_ReportTableValue("Workspace.Slack.A","Target Position","2410090","Feature (2)","2","29"),-44.718)</f>
        <v>-44.718000000000004</v>
      </c>
    </row>
    <row r="28" spans="1:29" x14ac:dyDescent="0.2">
      <c r="A28" s="10"/>
      <c r="W28" s="11"/>
      <c r="AA28" s="1" t="str">
        <f>IFERROR(_xll.PW_ReportTableValue("Workspace.Slack.A","Target Position","2410090","Feature (2)","0","30"),"DST 9")</f>
        <v>DST 9</v>
      </c>
      <c r="AB28" s="1" t="str">
        <f>IFERROR(_xll.PW_ReportTableValue("Workspace.Slack.A","Target Position","2410090","Feature (2)","1","30"),"X")</f>
        <v>X</v>
      </c>
      <c r="AC28" s="3">
        <f>IFERROR(_xll.PW_ReportTableValue("Workspace.Slack.A","Target Position","2410090","Feature (2)","2","30"),56.289)</f>
        <v>56.289000000000001</v>
      </c>
    </row>
    <row r="29" spans="1:29" ht="13.5" thickBot="1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4"/>
      <c r="AA29" s="1" t="str">
        <f>IFERROR(_xll.PW_ReportTableValue("Workspace.Slack.A","Target Position","2410090","Feature (2)","0","31"),"DST 9")</f>
        <v>DST 9</v>
      </c>
      <c r="AB29" s="1" t="str">
        <f>IFERROR(_xll.PW_ReportTableValue("Workspace.Slack.A","Target Position","2410090","Feature (2)","1","31"),"Y")</f>
        <v>Y</v>
      </c>
      <c r="AC29" s="3">
        <f>IFERROR(_xll.PW_ReportTableValue("Workspace.Slack.A","Target Position","2410090","Feature (2)","2","31"),80.086)</f>
        <v>80.085999999999999</v>
      </c>
    </row>
    <row r="30" spans="1:29" x14ac:dyDescent="0.2">
      <c r="AA30" s="1" t="str">
        <f>IFERROR(_xll.PW_ReportTableValue("Workspace.Slack.A","Target Position","2410090","Feature (2)","0","32"),"DST 9")</f>
        <v>DST 9</v>
      </c>
      <c r="AB30" s="1" t="str">
        <f>IFERROR(_xll.PW_ReportTableValue("Workspace.Slack.A","Target Position","2410090","Feature (2)","1","32"),"Z")</f>
        <v>Z</v>
      </c>
      <c r="AC30" s="3">
        <f>IFERROR(_xll.PW_ReportTableValue("Workspace.Slack.A","Target Position","2410090","Feature (2)","2","32"),-44.691)</f>
        <v>-44.691000000000003</v>
      </c>
    </row>
    <row r="31" spans="1:29" x14ac:dyDescent="0.2">
      <c r="AA31" s="1" t="str">
        <f>IFERROR(_xll.PW_ReportTableValue("Workspace.Slack.A","Target Position","2410090","Feature (2)","0","33"),"DST 10")</f>
        <v>DST 10</v>
      </c>
      <c r="AB31" s="1" t="str">
        <f>IFERROR(_xll.PW_ReportTableValue("Workspace.Slack.A","Target Position","2410090","Feature (2)","1","33"),"X")</f>
        <v>X</v>
      </c>
      <c r="AC31" s="3">
        <f>IFERROR(_xll.PW_ReportTableValue("Workspace.Slack.A","Target Position","2410090","Feature (2)","2","33"),-108.596)</f>
        <v>-108.596</v>
      </c>
    </row>
    <row r="32" spans="1:29" x14ac:dyDescent="0.2">
      <c r="AA32" s="1" t="str">
        <f>IFERROR(_xll.PW_ReportTableValue("Workspace.Slack.A","Target Position","2410090","Feature (2)","0","34"),"DST 10")</f>
        <v>DST 10</v>
      </c>
      <c r="AB32" s="1" t="str">
        <f>IFERROR(_xll.PW_ReportTableValue("Workspace.Slack.A","Target Position","2410090","Feature (2)","1","34"),"Y")</f>
        <v>Y</v>
      </c>
      <c r="AC32" s="3">
        <f>IFERROR(_xll.PW_ReportTableValue("Workspace.Slack.A","Target Position","2410090","Feature (2)","2","34"),-81.709)</f>
        <v>-81.709000000000003</v>
      </c>
    </row>
    <row r="33" spans="27:29" x14ac:dyDescent="0.2">
      <c r="AA33" s="1" t="str">
        <f>IFERROR(_xll.PW_ReportTableValue("Workspace.Slack.A","Target Position","2410090","Feature (2)","0","35"),"DST 10")</f>
        <v>DST 10</v>
      </c>
      <c r="AB33" s="1" t="str">
        <f>IFERROR(_xll.PW_ReportTableValue("Workspace.Slack.A","Target Position","2410090","Feature (2)","1","35"),"Z")</f>
        <v>Z</v>
      </c>
      <c r="AC33" s="3">
        <f>IFERROR(_xll.PW_ReportTableValue("Workspace.Slack.A","Target Position","2410090","Feature (2)","2","35"),-44.694)</f>
        <v>-44.694000000000003</v>
      </c>
    </row>
    <row r="34" spans="27:29" x14ac:dyDescent="0.2">
      <c r="AA34" s="1" t="str">
        <f>IFERROR(_xll.PW_ReportTableValue("Workspace.Slack.A","Target Position","2410090","Feature (2)","0","36"),"DST 11")</f>
        <v>DST 11</v>
      </c>
      <c r="AB34" s="1" t="str">
        <f>IFERROR(_xll.PW_ReportTableValue("Workspace.Slack.A","Target Position","2410090","Feature (2)","1","36"),"X")</f>
        <v>X</v>
      </c>
      <c r="AC34" s="3">
        <f>IFERROR(_xll.PW_ReportTableValue("Workspace.Slack.A","Target Position","2410090","Feature (2)","2","36"),-26.079)</f>
        <v>-26.079000000000001</v>
      </c>
    </row>
    <row r="35" spans="27:29" x14ac:dyDescent="0.2">
      <c r="AA35" s="1" t="str">
        <f>IFERROR(_xll.PW_ReportTableValue("Workspace.Slack.A","Target Position","2410090","Feature (2)","0","37"),"DST 11")</f>
        <v>DST 11</v>
      </c>
      <c r="AB35" s="1" t="str">
        <f>IFERROR(_xll.PW_ReportTableValue("Workspace.Slack.A","Target Position","2410090","Feature (2)","1","37"),"Y")</f>
        <v>Y</v>
      </c>
      <c r="AC35" s="3">
        <f>IFERROR(_xll.PW_ReportTableValue("Workspace.Slack.A","Target Position","2410090","Feature (2)","2","37"),-81.535)</f>
        <v>-81.534999999999997</v>
      </c>
    </row>
    <row r="36" spans="27:29" x14ac:dyDescent="0.2">
      <c r="AA36" s="1" t="str">
        <f>IFERROR(_xll.PW_ReportTableValue("Workspace.Slack.A","Target Position","2410090","Feature (2)","0","38"),"DST 11")</f>
        <v>DST 11</v>
      </c>
      <c r="AB36" s="1" t="str">
        <f>IFERROR(_xll.PW_ReportTableValue("Workspace.Slack.A","Target Position","2410090","Feature (2)","1","38"),"Z")</f>
        <v>Z</v>
      </c>
      <c r="AC36" s="3">
        <f>IFERROR(_xll.PW_ReportTableValue("Workspace.Slack.A","Target Position","2410090","Feature (2)","2","38"),-44.712)</f>
        <v>-44.712000000000003</v>
      </c>
    </row>
    <row r="37" spans="27:29" x14ac:dyDescent="0.2">
      <c r="AA37" s="1" t="str">
        <f>IFERROR(_xll.PW_ReportTableValue("Workspace.Slack.A","Target Position","2410090","Feature (2)","0","39"),"DST 12")</f>
        <v>DST 12</v>
      </c>
      <c r="AB37" s="1" t="str">
        <f>IFERROR(_xll.PW_ReportTableValue("Workspace.Slack.A","Target Position","2410090","Feature (2)","1","39"),"X")</f>
        <v>X</v>
      </c>
      <c r="AC37" s="3">
        <f>IFERROR(_xll.PW_ReportTableValue("Workspace.Slack.A","Target Position","2410090","Feature (2)","2","39"),56.449)</f>
        <v>56.448999999999998</v>
      </c>
    </row>
    <row r="38" spans="27:29" x14ac:dyDescent="0.2">
      <c r="AA38" s="1" t="str">
        <f>IFERROR(_xll.PW_ReportTableValue("Workspace.Slack.A","Target Position","2410090","Feature (2)","0","40"),"DST 12")</f>
        <v>DST 12</v>
      </c>
      <c r="AB38" s="1" t="str">
        <f>IFERROR(_xll.PW_ReportTableValue("Workspace.Slack.A","Target Position","2410090","Feature (2)","1","40"),"Y")</f>
        <v>Y</v>
      </c>
      <c r="AC38" s="3">
        <f>IFERROR(_xll.PW_ReportTableValue("Workspace.Slack.A","Target Position","2410090","Feature (2)","2","40"),-81.355)</f>
        <v>-81.355000000000004</v>
      </c>
    </row>
    <row r="39" spans="27:29" x14ac:dyDescent="0.2">
      <c r="AA39" s="1" t="str">
        <f>IFERROR(_xll.PW_ReportTableValue("Workspace.Slack.A","Target Position","2410090","Feature (2)","0","41"),"DST 12")</f>
        <v>DST 12</v>
      </c>
      <c r="AB39" s="1" t="str">
        <f>IFERROR(_xll.PW_ReportTableValue("Workspace.Slack.A","Target Position","2410090","Feature (2)","1","41"),"Z")</f>
        <v>Z</v>
      </c>
      <c r="AC39" s="3">
        <f>IFERROR(_xll.PW_ReportTableValue("Workspace.Slack.A","Target Position","2410090","Feature (2)","2","41"),-44.717)</f>
        <v>-44.716999999999999</v>
      </c>
    </row>
    <row r="40" spans="27:29" x14ac:dyDescent="0.2">
      <c r="AA40" s="1" t="str">
        <f>IFERROR(_xll.PW_ReportTableValue("Workspace.Slack.A","Target Position","2410090","Feature (2)","0","42"),"CT 13")</f>
        <v>CT 13</v>
      </c>
      <c r="AB40" s="1" t="str">
        <f>IFERROR(_xll.PW_ReportTableValue("Workspace.Slack.A","Target Position","2410090","Feature (2)","1","42"),"X")</f>
        <v>X</v>
      </c>
      <c r="AC40" s="3">
        <f>IFERROR(_xll.PW_ReportTableValue("Workspace.Slack.A","Target Position","2410090","Feature (2)","2","42"),-242.585)</f>
        <v>-242.58500000000001</v>
      </c>
    </row>
    <row r="41" spans="27:29" x14ac:dyDescent="0.2">
      <c r="AA41" s="1" t="str">
        <f>IFERROR(_xll.PW_ReportTableValue("Workspace.Slack.A","Target Position","2410090","Feature (2)","0","43"),"CT 13")</f>
        <v>CT 13</v>
      </c>
      <c r="AB41" s="1" t="str">
        <f>IFERROR(_xll.PW_ReportTableValue("Workspace.Slack.A","Target Position","2410090","Feature (2)","1","43"),"Y")</f>
        <v>Y</v>
      </c>
      <c r="AC41" s="3">
        <f>IFERROR(_xll.PW_ReportTableValue("Workspace.Slack.A","Target Position","2410090","Feature (2)","2","43"),186.08)</f>
        <v>186.08</v>
      </c>
    </row>
    <row r="42" spans="27:29" x14ac:dyDescent="0.2">
      <c r="AA42" s="1" t="str">
        <f>IFERROR(_xll.PW_ReportTableValue("Workspace.Slack.A","Target Position","2410090","Feature (2)","0","44"),"CT 13")</f>
        <v>CT 13</v>
      </c>
      <c r="AB42" s="1" t="str">
        <f>IFERROR(_xll.PW_ReportTableValue("Workspace.Slack.A","Target Position","2410090","Feature (2)","1","44"),"Z")</f>
        <v>Z</v>
      </c>
      <c r="AC42" s="3">
        <f>IFERROR(_xll.PW_ReportTableValue("Workspace.Slack.A","Target Position","2410090","Feature (2)","2","44"),0.231)</f>
        <v>0.23100000000000001</v>
      </c>
    </row>
    <row r="43" spans="27:29" x14ac:dyDescent="0.2">
      <c r="AA43" s="1" t="str">
        <f>IFERROR(_xll.PW_ReportTableValue("Workspace.Slack.A","Target Position","2410090","Feature (2)","0","45"),"CT 14")</f>
        <v>CT 14</v>
      </c>
      <c r="AB43" s="1" t="str">
        <f>IFERROR(_xll.PW_ReportTableValue("Workspace.Slack.A","Target Position","2410090","Feature (2)","1","45"),"X")</f>
        <v>X</v>
      </c>
      <c r="AC43" s="3">
        <f>IFERROR(_xll.PW_ReportTableValue("Workspace.Slack.A","Target Position","2410090","Feature (2)","2","45"),-242.412)</f>
        <v>-242.41200000000001</v>
      </c>
    </row>
    <row r="44" spans="27:29" x14ac:dyDescent="0.2">
      <c r="AA44" s="1" t="str">
        <f>IFERROR(_xll.PW_ReportTableValue("Workspace.Slack.A","Target Position","2410090","Feature (2)","0","46"),"CT 14")</f>
        <v>CT 14</v>
      </c>
      <c r="AB44" s="1" t="str">
        <f>IFERROR(_xll.PW_ReportTableValue("Workspace.Slack.A","Target Position","2410090","Feature (2)","1","46"),"Y")</f>
        <v>Y</v>
      </c>
      <c r="AC44" s="3">
        <f>IFERROR(_xll.PW_ReportTableValue("Workspace.Slack.A","Target Position","2410090","Feature (2)","2","46"),16.059)</f>
        <v>16.059000000000001</v>
      </c>
    </row>
    <row r="45" spans="27:29" x14ac:dyDescent="0.2">
      <c r="AA45" s="1" t="str">
        <f>IFERROR(_xll.PW_ReportTableValue("Workspace.Slack.A","Target Position","2410090","Feature (2)","0","47"),"CT 14")</f>
        <v>CT 14</v>
      </c>
      <c r="AB45" s="1" t="str">
        <f>IFERROR(_xll.PW_ReportTableValue("Workspace.Slack.A","Target Position","2410090","Feature (2)","1","47"),"Z")</f>
        <v>Z</v>
      </c>
      <c r="AC45" s="3">
        <f>IFERROR(_xll.PW_ReportTableValue("Workspace.Slack.A","Target Position","2410090","Feature (2)","2","47"),0.108)</f>
        <v>0.108</v>
      </c>
    </row>
    <row r="46" spans="27:29" x14ac:dyDescent="0.2">
      <c r="AA46" s="1" t="str">
        <f>IFERROR(_xll.PW_ReportTableValue("Workspace.Slack.A","Target Position","2410090","Feature (2)","0","48"),"CT 15")</f>
        <v>CT 15</v>
      </c>
      <c r="AB46" s="1" t="str">
        <f>IFERROR(_xll.PW_ReportTableValue("Workspace.Slack.A","Target Position","2410090","Feature (2)","1","48"),"X")</f>
        <v>X</v>
      </c>
      <c r="AC46" s="3">
        <f>IFERROR(_xll.PW_ReportTableValue("Workspace.Slack.A","Target Position","2410090","Feature (2)","2","48"),-242.218)</f>
        <v>-242.21799999999999</v>
      </c>
    </row>
    <row r="47" spans="27:29" x14ac:dyDescent="0.2">
      <c r="AA47" s="1" t="str">
        <f>IFERROR(_xll.PW_ReportTableValue("Workspace.Slack.A","Target Position","2410090","Feature (2)","0","49"),"CT 15")</f>
        <v>CT 15</v>
      </c>
      <c r="AB47" s="1" t="str">
        <f>IFERROR(_xll.PW_ReportTableValue("Workspace.Slack.A","Target Position","2410090","Feature (2)","1","49"),"Y")</f>
        <v>Y</v>
      </c>
      <c r="AC47" s="3">
        <f>IFERROR(_xll.PW_ReportTableValue("Workspace.Slack.A","Target Position","2410090","Feature (2)","2","49"),-153.961)</f>
        <v>-153.96100000000001</v>
      </c>
    </row>
    <row r="48" spans="27:29" x14ac:dyDescent="0.2">
      <c r="AA48" s="1" t="str">
        <f>IFERROR(_xll.PW_ReportTableValue("Workspace.Slack.A","Target Position","2410090","Feature (2)","0","50"),"CT 15")</f>
        <v>CT 15</v>
      </c>
      <c r="AB48" s="1" t="str">
        <f>IFERROR(_xll.PW_ReportTableValue("Workspace.Slack.A","Target Position","2410090","Feature (2)","1","50"),"Z")</f>
        <v>Z</v>
      </c>
      <c r="AC48" s="3">
        <f>IFERROR(_xll.PW_ReportTableValue("Workspace.Slack.A","Target Position","2410090","Feature (2)","2","50"),0.009)</f>
        <v>8.9999999999999993E-3</v>
      </c>
    </row>
    <row r="50" spans="27:29" x14ac:dyDescent="0.2">
      <c r="AA50" s="1" t="s">
        <v>23</v>
      </c>
      <c r="AB50" s="1" t="s">
        <v>24</v>
      </c>
      <c r="AC50" s="4">
        <f>AVERAGE(AC42,AC45,AC48)</f>
        <v>0.11600000000000001</v>
      </c>
    </row>
  </sheetData>
  <pageMargins left="0.7" right="0.7" top="0.75" bottom="0.75" header="0.3" footer="0.3"/>
  <pageSetup paperSize="9" orientation="landscape" r:id="rId1"/>
  <customProperties>
    <customPr name="PolyworksSheet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ReportLoop>
  <AddInVersion year="24" major="3" minor="0" build="3028"/>
  <DataVersion major="1" minor="0"> </DataVersion>
  <Snapshots>
    <Version>1</Version>
    <Image>
      <Workspace>a9c4e1f0-d0f2-4513-881e-a55f74e929d9</Workspace>
      <Project>0e36da1b-bd82-4df7-a665-8a51ae9807a0</Project>
      <Piece>46cba1b4-5930-443a-8236-e250b3c10164</Piece>
      <Report/>
      <ControlView/>
      <ControlViewName/>
      <ControlViewSnapshot/>
      <ReportItems/>
      <ReportItemSnapshot>1738bdb8-e593-4ef0-96cb-61053dfceb57</ReportItemSnapshot>
      <ReportItemSnapshotName>Snapshot (2)</ReportItemSnapshotName>
      <RI>True</RI>
      <ID>PWSNAP_1738bdb8-e593-4ef0-96cb-61053dfceb57_34bdc71c-d6c4-49c8-b82f-5a2f8b1b7752</ID>
    </Image>
    <Image>
      <Workspace>a9c4e1f0-d0f2-4513-881e-a55f74e929d9</Workspace>
      <Project>0e36da1b-bd82-4df7-a665-8a51ae9807a0</Project>
      <Piece>46cba1b4-5930-443a-8236-e250b3c10164</Piece>
      <Report/>
      <ControlView/>
      <ControlViewName/>
      <ControlViewSnapshot/>
      <ReportItems/>
      <ReportItemSnapshot>fa067b64-1190-4bc7-90d9-3f479e352d51</ReportItemSnapshot>
      <ReportItemSnapshotName>Snapshot (3)</ReportItemSnapshotName>
      <RI>True</RI>
      <ID>PWSNAP_fa067b64-1190-4bc7-90d9-3f479e352d51_5f503f21-bbbf-460c-9d86-64821c4d1d17</ID>
    </Image>
    <Image>
      <Workspace>a9c4e1f0-d0f2-4513-881e-a55f74e929d9</Workspace>
      <Project>0e36da1b-bd82-4df7-a665-8a51ae9807a0</Project>
      <Piece>46cba1b4-5930-443a-8236-e250b3c10164</Piece>
      <Report/>
      <ControlView/>
      <ControlViewName/>
      <ControlViewSnapshot/>
      <ReportItems/>
      <ReportItemSnapshot>2f6c886a-98e6-4873-95af-a4992aca1f2a</ReportItemSnapshot>
      <ReportItemSnapshotName>Snapshot</ReportItemSnapshotName>
      <RI>True</RI>
      <ID>PWSNAP_2f6c886a-98e6-4873-95af-a4992aca1f2a_c2696a63-fbc4-442f-babf-91eebfa5dbb4</ID>
    </Image>
    <Image>
      <Workspace>a9c4e1f0-d0f2-4513-881e-a55f74e929d9</Workspace>
      <Project>0e36da1b-bd82-4df7-a665-8a51ae9807a0</Project>
      <Piece>ccca1392-81cb-4206-b7d7-cba179299e77</Piece>
      <Report/>
      <ControlView/>
      <ControlViewName/>
      <ControlViewSnapshot/>
      <ReportItems/>
      <ReportItemSnapshot>1738bdb8-e593-4ef0-96cb-61053dfceb57</ReportItemSnapshot>
      <ReportItemSnapshotName>Snapshot (2)</ReportItemSnapshotName>
      <RI>True</RI>
      <ID>PWSNAP_1738bdb8-e593-4ef0-96cb-61053dfceb57_f18cadf0-d17b-48bd-a9cc-50c792c5cb62</ID>
    </Image>
    <Image>
      <Workspace>a9c4e1f0-d0f2-4513-881e-a55f74e929d9</Workspace>
      <Project>0e36da1b-bd82-4df7-a665-8a51ae9807a0</Project>
      <Piece>ccca1392-81cb-4206-b7d7-cba179299e77</Piece>
      <Report/>
      <ControlView/>
      <ControlViewName/>
      <ControlViewSnapshot/>
      <ReportItems/>
      <ReportItemSnapshot>fa067b64-1190-4bc7-90d9-3f479e352d51</ReportItemSnapshot>
      <ReportItemSnapshotName>Snapshot (3)</ReportItemSnapshotName>
      <RI>True</RI>
      <ID>PWSNAP_fa067b64-1190-4bc7-90d9-3f479e352d51_d7b48d74-e36a-4fc7-9e1f-2b4e9a78e54f</ID>
    </Image>
    <Image>
      <Workspace>a9c4e1f0-d0f2-4513-881e-a55f74e929d9</Workspace>
      <Project>0e36da1b-bd82-4df7-a665-8a51ae9807a0</Project>
      <Piece>ccca1392-81cb-4206-b7d7-cba179299e77</Piece>
      <Report/>
      <ControlView/>
      <ControlViewName/>
      <ControlViewSnapshot/>
      <ReportItems/>
      <ReportItemSnapshot>2f6c886a-98e6-4873-95af-a4992aca1f2a</ReportItemSnapshot>
      <ReportItemSnapshotName>Snapshot</ReportItemSnapshotName>
      <RI>True</RI>
      <ID>PWSNAP_2f6c886a-98e6-4873-95af-a4992aca1f2a_3ac532a9-306c-4541-981d-aa96f3a979c0</ID>
    </Image>
  </Snapshots>
  <ProjectData>
    <Version/>
    <Workspaces>
      <Workspace>
        <FullPath>L:\LABDFY0_F-test\PolyWorks\Slack PhaseShifter\Workspace.Slack.A.pwk</FullPath>
        <Id>a9c4e1f0-d0f2-4513-881e-a55f74e929d9</Id>
        <Projects>
          <Project>
            <Name>Target Position</Name>
            <Id>0e36da1b-bd82-4df7-a665-8a51ae9807a0</Id>
            <SourceVersion>24.00.00.2135</SourceVersion>
          </Project>
        </Projects>
      </Workspace>
    </Workspaces>
  </ProjectData>
</ReportLoop>
</file>

<file path=customXml/itemProps1.xml><?xml version="1.0" encoding="utf-8"?>
<ds:datastoreItem xmlns:ds="http://schemas.openxmlformats.org/officeDocument/2006/customXml" ds:itemID="{3D2813EB-0130-40BE-B223-024772C1B47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2410082 Report</vt:lpstr>
      <vt:lpstr>2410090 Report</vt:lpstr>
      <vt:lpstr>'2410082 Report'!Print</vt:lpstr>
      <vt:lpstr>'2410090 Report'!Print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dc:description>Piece: 2410082-2410085</dc:description>
  <cp:lastModifiedBy>Claus Søndergaard Jensen</cp:lastModifiedBy>
  <cp:lastPrinted>2024-08-14T07:31:58Z</cp:lastPrinted>
  <dcterms:created xsi:type="dcterms:W3CDTF">2017-01-25T09:37:33Z</dcterms:created>
  <dcterms:modified xsi:type="dcterms:W3CDTF">2024-09-05T11:12:14Z</dcterms:modified>
</cp:coreProperties>
</file>