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11" windowWidth="24435" windowHeight="14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<sst xmlns="http://schemas.openxmlformats.org/spreadsheetml/2006/main" count="40" uniqueCount="34">
  <si>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Date</t>
  </si>
  <si>
    <t>K</t>
  </si>
  <si>
    <t>T</t>
  </si>
  <si>
    <t>K(t_corr)</t>
  </si>
  <si>
    <t>X(TB5)</t>
  </si>
  <si>
    <t>X(TB8)</t>
  </si>
  <si>
    <t>X(ave)</t>
  </si>
  <si>
    <t>K(x_corr)</t>
  </si>
  <si>
    <t>Delta_X</t>
  </si>
  <si>
    <t>STD</t>
  </si>
  <si>
    <t>X_Nom_K</t>
  </si>
  <si>
    <t>D_X_Nom</t>
  </si>
  <si>
    <t>DK/K</t>
  </si>
  <si>
    <t>Bprobe(T)</t>
  </si>
  <si>
    <t>Bnmr(T)</t>
  </si>
  <si>
    <t>Delta(G)</t>
  </si>
  <si>
    <t>Reference magnet measurements</t>
  </si>
  <si>
    <t>K nom</t>
  </si>
  <si>
    <t>corrected for temperature</t>
  </si>
  <si>
    <r>
      <t>(</t>
    </r>
    <r>
      <rPr>
        <sz val="10"/>
        <rFont val="Symbol"/>
        <family val="1"/>
      </rPr>
      <t>°</t>
    </r>
    <r>
      <rPr>
        <sz val="10"/>
        <rFont val="Arial"/>
        <family val="0"/>
      </rPr>
      <t>C)</t>
    </r>
  </si>
  <si>
    <t>(µm)</t>
  </si>
  <si>
    <t>(mm)</t>
  </si>
  <si>
    <t>Second reference S/N 31</t>
  </si>
  <si>
    <t>Probe re-calibrated 06/07</t>
  </si>
  <si>
    <t>Probe re-calibrated 07/07</t>
  </si>
  <si>
    <t>Probe re-calibrated 03/08</t>
  </si>
  <si>
    <t>Probe re-calibrated 08/08</t>
  </si>
  <si>
    <t>Probe re-calibrated 10/08</t>
  </si>
  <si>
    <t xml:space="preserve"> Oct-07</t>
  </si>
  <si>
    <t>K temperature dependence = 0.43*10-3</t>
  </si>
  <si>
    <t>*V-drift corrected</t>
  </si>
  <si>
    <t>STD.</t>
  </si>
  <si>
    <t>Mean</t>
  </si>
  <si>
    <t>Measured with Sentron 463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</si>
</sst>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0000"/>
    <numFmt numFmtId="167" formatCode="0.0E+00"/>
    <numFmt numFmtId="168" formatCode="0.E+00"/>
    <numFmt numFmtId="169" formatCode="0.000"/>
    <numFmt numFmtId="170" formatCode="0.000000"/>
    <numFmt numFmtId="171" formatCode="[$-409]mmmm\-yy;@"/>
    <numFmt numFmtId="172" formatCode="0.0000"/>
    <numFmt numFmtId="173" formatCode="[$-409]h:mm:ss\ AM/PM"/>
    <numFmt numFmtId="174" formatCode="[$-409]h:mm\ AM/PM;@"/>
    <numFmt numFmtId="175" formatCode="m/d;@"/>
    <numFmt numFmtId="176" formatCode="#,##0.000"/>
    <numFmt numFmtId="177" formatCode="0.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0"/>
    </font>
    <font>
      <vertAlign val="subscript"/>
      <sz val="11"/>
      <color indexed="8"/>
      <name val="Calibri"/>
      <family val="0"/>
    </font>
    <font>
      <sz val="11"/>
      <color indexed="8"/>
      <name val="Times New Roman"/>
      <family val="0"/>
    </font>
    <font>
      <vertAlign val="superscript"/>
      <sz val="11"/>
      <color indexed="8"/>
      <name val="Times New Roman"/>
      <family val="0"/>
    </font>
    <font>
      <vertAlign val="superscript"/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" fontId="0" fillId="33" borderId="0" xfId="0" applyNumberFormat="1" applyFill="1" applyAlignment="1">
      <alignment horizontal="center"/>
    </xf>
    <xf numFmtId="170" fontId="0" fillId="33" borderId="0" xfId="0" applyNumberFormat="1" applyFill="1" applyAlignment="1">
      <alignment/>
    </xf>
    <xf numFmtId="165" fontId="0" fillId="34" borderId="0" xfId="0" applyNumberForma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35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36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76" fontId="0" fillId="0" borderId="0" xfId="0" applyNumberFormat="1" applyAlignment="1">
      <alignment/>
    </xf>
    <xf numFmtId="170" fontId="55" fillId="0" borderId="0" xfId="0" applyNumberFormat="1" applyFont="1" applyAlignment="1">
      <alignment/>
    </xf>
    <xf numFmtId="0" fontId="8" fillId="35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magnet re-measurement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Updated 1/14/2016</a:t>
            </a:r>
          </a:p>
        </c:rich>
      </c:tx>
      <c:layout>
        <c:manualLayout>
          <c:xMode val="factor"/>
          <c:yMode val="factor"/>
          <c:x val="-0.066"/>
          <c:y val="0.06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625"/>
          <c:w val="0.91925"/>
          <c:h val="0.6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Sheet1!$A$3:$A$57</c:f>
              <c:strCache/>
            </c:strRef>
          </c:xVal>
          <c:yVal>
            <c:numRef>
              <c:f>Sheet1!$K$3:$K$57</c:f>
              <c:numCache/>
            </c:numRef>
          </c:yVal>
          <c:smooth val="0"/>
        </c:ser>
        <c:ser>
          <c:idx val="1"/>
          <c:order val="1"/>
          <c:tx>
            <c:v>New average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Sheet1!$A$36:$A$57</c:f>
              <c:strCache/>
            </c:strRef>
          </c:xVal>
          <c:yVal>
            <c:numRef>
              <c:f>Sheet1!$U$36:$U$57</c:f>
              <c:numCache/>
            </c:numRef>
          </c:yVal>
          <c:smooth val="0"/>
        </c:ser>
        <c:ser>
          <c:idx val="2"/>
          <c:order val="2"/>
          <c:tx>
            <c:v>Nominal K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Sheet1!$A$3:$A$35</c:f>
              <c:strCache/>
            </c:strRef>
          </c:xVal>
          <c:yVal>
            <c:numRef>
              <c:f>Sheet1!$P$3:$P$35</c:f>
              <c:numCache/>
            </c:numRef>
          </c:yVal>
          <c:smooth val="0"/>
        </c:ser>
        <c:axId val="63595629"/>
        <c:axId val="35489750"/>
      </c:scatterChart>
      <c:valAx>
        <c:axId val="63595629"/>
        <c:scaling>
          <c:orientation val="minMax"/>
          <c:max val="42500"/>
          <c:min val="39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crossBetween val="midCat"/>
        <c:dispUnits/>
        <c:majorUnit val="200"/>
        <c:minorUnit val="20"/>
      </c:val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at average x position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At val="39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undulator re-measurement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Updated 1/14/2016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4125"/>
          <c:w val="0.951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Sheet1!$A$3:$A$57</c:f>
              <c:strCache/>
            </c:strRef>
          </c:xVal>
          <c:yVal>
            <c:numRef>
              <c:f>Sheet1!$O$3:$O$57</c:f>
              <c:numCache/>
            </c:numRef>
          </c:yVal>
          <c:smooth val="0"/>
        </c:ser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Sheet1!$A$9:$A$57</c:f>
              <c:strCache/>
            </c:strRef>
          </c:xVal>
          <c:yVal>
            <c:numRef>
              <c:f>Sheet1!$P$8:$P$57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Sheet1!$A$9:$A$57</c:f>
              <c:strCache/>
            </c:strRef>
          </c:xVal>
          <c:yVal>
            <c:numRef>
              <c:f>Sheet1!$R$9:$R$57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Sheet1!$A$9:$A$57</c:f>
              <c:strCache/>
            </c:strRef>
          </c:xVal>
          <c:yVal>
            <c:numRef>
              <c:f>Sheet1!$Q$9:$Q$57</c:f>
              <c:numCache/>
            </c:numRef>
          </c:yVal>
          <c:smooth val="0"/>
        </c:ser>
        <c:axId val="50972295"/>
        <c:axId val="56097472"/>
      </c:scatterChart>
      <c:valAx>
        <c:axId val="50972295"/>
        <c:scaling>
          <c:orientation val="minMax"/>
          <c:max val="42600"/>
          <c:min val="39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crossBetween val="midCat"/>
        <c:dispUnits/>
        <c:majorUnit val="200"/>
        <c:minorUnit val="20"/>
      </c:valAx>
      <c:valAx>
        <c:axId val="56097472"/>
        <c:scaling>
          <c:orientation val="minMax"/>
          <c:max val="3.5"/>
          <c:min val="3.4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at average x position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At val="3910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0.55175</cdr:y>
    </cdr:from>
    <cdr:to>
      <cdr:x>0.93225</cdr:x>
      <cdr:y>0.55225</cdr:y>
    </cdr:to>
    <cdr:sp>
      <cdr:nvSpPr>
        <cdr:cNvPr id="1" name="Line 1"/>
        <cdr:cNvSpPr>
          <a:spLocks/>
        </cdr:cNvSpPr>
      </cdr:nvSpPr>
      <cdr:spPr>
        <a:xfrm>
          <a:off x="990600" y="1771650"/>
          <a:ext cx="5953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0.23625</cdr:y>
    </cdr:from>
    <cdr:to>
      <cdr:x>0.93225</cdr:x>
      <cdr:y>0.23625</cdr:y>
    </cdr:to>
    <cdr:sp>
      <cdr:nvSpPr>
        <cdr:cNvPr id="2" name="Line 2"/>
        <cdr:cNvSpPr>
          <a:spLocks/>
        </cdr:cNvSpPr>
      </cdr:nvSpPr>
      <cdr:spPr>
        <a:xfrm>
          <a:off x="990600" y="752475"/>
          <a:ext cx="5953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0.55175</cdr:y>
    </cdr:from>
    <cdr:to>
      <cdr:x>0.93225</cdr:x>
      <cdr:y>0.55225</cdr:y>
    </cdr:to>
    <cdr:sp>
      <cdr:nvSpPr>
        <cdr:cNvPr id="3" name="Line 1"/>
        <cdr:cNvSpPr>
          <a:spLocks/>
        </cdr:cNvSpPr>
      </cdr:nvSpPr>
      <cdr:spPr>
        <a:xfrm>
          <a:off x="990600" y="1771650"/>
          <a:ext cx="5953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0.23625</cdr:y>
    </cdr:from>
    <cdr:to>
      <cdr:x>0.93225</cdr:x>
      <cdr:y>0.23625</cdr:y>
    </cdr:to>
    <cdr:sp>
      <cdr:nvSpPr>
        <cdr:cNvPr id="4" name="Line 2"/>
        <cdr:cNvSpPr>
          <a:spLocks/>
        </cdr:cNvSpPr>
      </cdr:nvSpPr>
      <cdr:spPr>
        <a:xfrm>
          <a:off x="990600" y="752475"/>
          <a:ext cx="5953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0.291</cdr:y>
    </cdr:from>
    <cdr:to>
      <cdr:x>0.75275</cdr:x>
      <cdr:y>0.36825</cdr:y>
    </cdr:to>
    <cdr:sp>
      <cdr:nvSpPr>
        <cdr:cNvPr id="5" name="TextBox 5"/>
        <cdr:cNvSpPr txBox="1">
          <a:spLocks noChangeArrowheads="1"/>
        </cdr:cNvSpPr>
      </cdr:nvSpPr>
      <cdr:spPr>
        <a:xfrm>
          <a:off x="4486275" y="933450"/>
          <a:ext cx="1114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=3.498623</a:t>
          </a:r>
        </a:p>
      </cdr:txBody>
    </cdr:sp>
  </cdr:relSizeAnchor>
  <cdr:relSizeAnchor xmlns:cdr="http://schemas.openxmlformats.org/drawingml/2006/chartDrawing">
    <cdr:from>
      <cdr:x>0.817</cdr:x>
      <cdr:y>0.87125</cdr:y>
    </cdr:from>
    <cdr:to>
      <cdr:x>0.96525</cdr:x>
      <cdr:y>0.973</cdr:y>
    </cdr:to>
    <cdr:sp>
      <cdr:nvSpPr>
        <cdr:cNvPr id="6" name="TextBox 5"/>
        <cdr:cNvSpPr txBox="1">
          <a:spLocks noChangeArrowheads="1"/>
        </cdr:cNvSpPr>
      </cdr:nvSpPr>
      <cdr:spPr>
        <a:xfrm>
          <a:off x="6076950" y="2800350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K/K = 4.3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·10</a:t>
          </a:r>
          <a:r>
            <a:rPr lang="en-US" cap="none" sz="11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76</xdr:row>
      <xdr:rowOff>19050</xdr:rowOff>
    </xdr:from>
    <xdr:to>
      <xdr:col>24</xdr:col>
      <xdr:colOff>0</xdr:colOff>
      <xdr:row>96</xdr:row>
      <xdr:rowOff>0</xdr:rowOff>
    </xdr:to>
    <xdr:graphicFrame>
      <xdr:nvGraphicFramePr>
        <xdr:cNvPr id="1" name="Chart 3"/>
        <xdr:cNvGraphicFramePr/>
      </xdr:nvGraphicFramePr>
      <xdr:xfrm>
        <a:off x="6791325" y="12344400"/>
        <a:ext cx="7448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133350</xdr:colOff>
      <xdr:row>91</xdr:row>
      <xdr:rowOff>47625</xdr:rowOff>
    </xdr:from>
    <xdr:ext cx="1085850" cy="257175"/>
    <xdr:sp>
      <xdr:nvSpPr>
        <xdr:cNvPr id="2" name="TextBox 6"/>
        <xdr:cNvSpPr txBox="1">
          <a:spLocks noChangeArrowheads="1"/>
        </xdr:cNvSpPr>
      </xdr:nvSpPr>
      <xdr:spPr>
        <a:xfrm>
          <a:off x="10715625" y="1480185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R.M.S. = 5.0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-5</a:t>
          </a:r>
        </a:p>
      </xdr:txBody>
    </xdr:sp>
    <xdr:clientData/>
  </xdr:oneCellAnchor>
  <xdr:oneCellAnchor>
    <xdr:from>
      <xdr:col>15</xdr:col>
      <xdr:colOff>476250</xdr:colOff>
      <xdr:row>86</xdr:row>
      <xdr:rowOff>9525</xdr:rowOff>
    </xdr:from>
    <xdr:ext cx="885825" cy="266700"/>
    <xdr:sp>
      <xdr:nvSpPr>
        <xdr:cNvPr id="3" name="TextBox 7"/>
        <xdr:cNvSpPr txBox="1">
          <a:spLocks noChangeArrowheads="1"/>
        </xdr:cNvSpPr>
      </xdr:nvSpPr>
      <xdr:spPr>
        <a:xfrm>
          <a:off x="9229725" y="13954125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new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=3.497114</a:t>
          </a:r>
        </a:p>
      </xdr:txBody>
    </xdr:sp>
    <xdr:clientData/>
  </xdr:oneCellAnchor>
  <xdr:twoCellAnchor>
    <xdr:from>
      <xdr:col>12</xdr:col>
      <xdr:colOff>76200</xdr:colOff>
      <xdr:row>98</xdr:row>
      <xdr:rowOff>19050</xdr:rowOff>
    </xdr:from>
    <xdr:to>
      <xdr:col>24</xdr:col>
      <xdr:colOff>57150</xdr:colOff>
      <xdr:row>117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6848475" y="15906750"/>
          <a:ext cx="7448550" cy="3181350"/>
          <a:chOff x="6829425" y="15897225"/>
          <a:chExt cx="6638925" cy="3181350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6829425" y="15897225"/>
          <a:ext cx="6638925" cy="31813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Oval 1"/>
          <xdr:cNvSpPr>
            <a:spLocks/>
          </xdr:cNvSpPr>
        </xdr:nvSpPr>
        <xdr:spPr>
          <a:xfrm>
            <a:off x="12628526" y="17335195"/>
            <a:ext cx="458086" cy="400055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traight Arrow Connector 3"/>
          <xdr:cNvSpPr>
            <a:spLocks/>
          </xdr:cNvSpPr>
        </xdr:nvSpPr>
        <xdr:spPr>
          <a:xfrm flipH="1">
            <a:off x="12882465" y="17192830"/>
            <a:ext cx="136098" cy="333246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PageLayoutView="0" workbookViewId="0" topLeftCell="A74">
      <selection activeCell="L36" sqref="L36"/>
    </sheetView>
  </sheetViews>
  <sheetFormatPr defaultColWidth="9.140625" defaultRowHeight="12.75"/>
  <cols>
    <col min="1" max="1" width="7.7109375" style="1" customWidth="1"/>
    <col min="2" max="2" width="9.140625" style="2" customWidth="1"/>
    <col min="3" max="3" width="9.421875" style="2" customWidth="1"/>
    <col min="4" max="4" width="9.140625" style="2" customWidth="1"/>
    <col min="5" max="5" width="7.57421875" style="0" customWidth="1"/>
    <col min="6" max="7" width="8.140625" style="0" customWidth="1"/>
    <col min="8" max="8" width="7.8515625" style="0" customWidth="1"/>
    <col min="10" max="10" width="6.57421875" style="2" customWidth="1"/>
    <col min="11" max="11" width="10.28125" style="0" customWidth="1"/>
    <col min="12" max="12" width="8.421875" style="0" customWidth="1"/>
    <col min="13" max="13" width="8.140625" style="0" customWidth="1"/>
    <col min="15" max="15" width="12.421875" style="0" bestFit="1" customWidth="1"/>
    <col min="19" max="19" width="9.140625" style="30" customWidth="1"/>
  </cols>
  <sheetData>
    <row r="1" spans="1:19" s="6" customFormat="1" ht="11.25">
      <c r="A1" s="4" t="s">
        <v>0</v>
      </c>
      <c r="B1" s="5" t="s">
        <v>1</v>
      </c>
      <c r="C1" s="5" t="s">
        <v>2</v>
      </c>
      <c r="D1" s="5" t="s">
        <v>3</v>
      </c>
      <c r="E1" s="5" t="s">
        <v>11</v>
      </c>
      <c r="F1" s="5" t="s">
        <v>4</v>
      </c>
      <c r="G1" s="5" t="s">
        <v>5</v>
      </c>
      <c r="H1" s="5" t="s">
        <v>6</v>
      </c>
      <c r="I1" s="5" t="s">
        <v>10</v>
      </c>
      <c r="J1" s="5" t="s">
        <v>8</v>
      </c>
      <c r="K1" s="5" t="s">
        <v>7</v>
      </c>
      <c r="L1" s="5" t="s">
        <v>12</v>
      </c>
      <c r="M1" s="5" t="s">
        <v>9</v>
      </c>
      <c r="S1" s="29"/>
    </row>
    <row r="2" spans="3:15" ht="12.75">
      <c r="C2" s="2" t="s">
        <v>19</v>
      </c>
      <c r="E2" t="s">
        <v>20</v>
      </c>
      <c r="F2" t="s">
        <v>21</v>
      </c>
      <c r="G2" s="2" t="s">
        <v>21</v>
      </c>
      <c r="H2" s="2" t="s">
        <v>21</v>
      </c>
      <c r="I2" s="2" t="s">
        <v>21</v>
      </c>
      <c r="J2" t="s">
        <v>20</v>
      </c>
      <c r="O2" s="17"/>
    </row>
    <row r="3" spans="1:19" ht="12.75">
      <c r="A3" s="1">
        <v>39209</v>
      </c>
      <c r="B3" s="2">
        <v>3.498635</v>
      </c>
      <c r="C3" s="21">
        <v>20.03</v>
      </c>
      <c r="D3" s="2">
        <f>(1+(C3-20)*0.00043)*B3</f>
        <v>3.4986801323915</v>
      </c>
      <c r="E3" s="9">
        <f>-(D3-3.498623)/3.1*1000000</f>
        <v>-18.429803709807402</v>
      </c>
      <c r="F3" s="8">
        <v>248.219</v>
      </c>
      <c r="G3" s="8">
        <v>248.24</v>
      </c>
      <c r="H3" s="7">
        <f aca="true" t="shared" si="0" ref="H3:H32">(F3+G3)/2</f>
        <v>248.2295</v>
      </c>
      <c r="I3" s="7">
        <f aca="true" t="shared" si="1" ref="I3:I20">H3-E3/1000</f>
        <v>248.2479298037098</v>
      </c>
      <c r="J3" s="9">
        <f>(I3-M5)*1000</f>
        <v>-326.18125266614584</v>
      </c>
      <c r="K3" s="10">
        <f>(3.498623+J3*3.1/1000000)</f>
        <v>3.4976118381167347</v>
      </c>
      <c r="L3" s="3">
        <f aca="true" t="shared" si="2" ref="L3:L13">(K3-3.498623)/3.498623</f>
        <v>-0.00028901710280447774</v>
      </c>
      <c r="M3" s="16">
        <f>STDEV(K3:K34)/I66</f>
        <v>9.773967513741319E-05</v>
      </c>
      <c r="O3" s="17">
        <f aca="true" t="shared" si="3" ref="O3:O34">K3</f>
        <v>3.4976118381167347</v>
      </c>
      <c r="P3">
        <v>3.498623</v>
      </c>
      <c r="Q3">
        <f>P3-0.000525</f>
        <v>3.4980979999999997</v>
      </c>
      <c r="R3">
        <f>P3+0.000525</f>
        <v>3.499148</v>
      </c>
      <c r="S3" s="31">
        <f>(O3-P3)*100000/O3</f>
        <v>-28.910065783902528</v>
      </c>
    </row>
    <row r="4" spans="1:19" ht="12.75">
      <c r="A4" s="1">
        <v>39240</v>
      </c>
      <c r="B4" s="2">
        <v>3.498585</v>
      </c>
      <c r="C4" s="21">
        <v>20.08</v>
      </c>
      <c r="D4" s="2">
        <f aca="true" t="shared" si="4" ref="D4:D32">(1+(C4-20)*0.00043)*B4</f>
        <v>3.4987053513240003</v>
      </c>
      <c r="E4" s="9">
        <f aca="true" t="shared" si="5" ref="E4:E32">-(D4-3.498623)/3.1*1000000</f>
        <v>-26.564943225959233</v>
      </c>
      <c r="F4" s="8">
        <v>248.166</v>
      </c>
      <c r="G4" s="8">
        <v>248.167</v>
      </c>
      <c r="H4" s="7">
        <f t="shared" si="0"/>
        <v>248.16649999999998</v>
      </c>
      <c r="I4" s="7">
        <f t="shared" si="1"/>
        <v>248.19306494322595</v>
      </c>
      <c r="J4" s="9">
        <f>(I4-M5)*1000</f>
        <v>-381.04611315000625</v>
      </c>
      <c r="K4" s="10">
        <f aca="true" t="shared" si="6" ref="K4:K32">(3.498623+J4*3.1/1000000)</f>
        <v>3.4974417570492347</v>
      </c>
      <c r="L4" s="3">
        <f t="shared" si="2"/>
        <v>-0.0003376308195439063</v>
      </c>
      <c r="O4" s="17">
        <f t="shared" si="3"/>
        <v>3.4974417570492347</v>
      </c>
      <c r="P4">
        <v>3.498623</v>
      </c>
      <c r="Q4">
        <f aca="true" t="shared" si="7" ref="Q4:Q47">P4-0.000525</f>
        <v>3.4980979999999997</v>
      </c>
      <c r="R4">
        <f aca="true" t="shared" si="8" ref="R4:R47">P4+0.000525</f>
        <v>3.499148</v>
      </c>
      <c r="S4" s="31">
        <f aca="true" t="shared" si="9" ref="S4:S43">(O4-P4)*100000/O4</f>
        <v>-33.77448526152916</v>
      </c>
    </row>
    <row r="5" spans="1:19" ht="12.75">
      <c r="A5" s="1">
        <v>39270</v>
      </c>
      <c r="B5" s="2">
        <v>3.498626</v>
      </c>
      <c r="C5" s="22">
        <v>19.96</v>
      </c>
      <c r="D5" s="2">
        <f t="shared" si="4"/>
        <v>3.4985658236327994</v>
      </c>
      <c r="E5" s="9">
        <f t="shared" si="5"/>
        <v>18.44398941947527</v>
      </c>
      <c r="F5" s="7">
        <v>248.366</v>
      </c>
      <c r="G5" s="8">
        <v>248.379</v>
      </c>
      <c r="H5" s="7">
        <f t="shared" si="0"/>
        <v>248.3725</v>
      </c>
      <c r="I5" s="7">
        <f t="shared" si="1"/>
        <v>248.35405601058054</v>
      </c>
      <c r="J5" s="9">
        <f>(I5-M5)*1000</f>
        <v>-220.05504579541935</v>
      </c>
      <c r="K5" s="10">
        <f t="shared" si="6"/>
        <v>3.497940829358034</v>
      </c>
      <c r="L5" s="3">
        <f t="shared" si="2"/>
        <v>-0.00019498260943398026</v>
      </c>
      <c r="M5" s="7">
        <f>AVERAGE(I12:I34)</f>
        <v>248.57411105637595</v>
      </c>
      <c r="O5" s="17">
        <f t="shared" si="3"/>
        <v>3.497940829358034</v>
      </c>
      <c r="P5">
        <v>3.498623</v>
      </c>
      <c r="Q5">
        <f t="shared" si="7"/>
        <v>3.4980979999999997</v>
      </c>
      <c r="R5">
        <f t="shared" si="8"/>
        <v>3.499148</v>
      </c>
      <c r="S5" s="31">
        <f t="shared" si="9"/>
        <v>-19.502063506629895</v>
      </c>
    </row>
    <row r="6" spans="1:19" ht="12.75">
      <c r="A6" s="1">
        <v>39332</v>
      </c>
      <c r="B6" s="2">
        <v>3.498632</v>
      </c>
      <c r="C6" s="22">
        <v>19.95</v>
      </c>
      <c r="D6" s="2">
        <f t="shared" si="4"/>
        <v>3.498556779412</v>
      </c>
      <c r="E6" s="9">
        <f t="shared" si="5"/>
        <v>21.361479999924423</v>
      </c>
      <c r="F6" s="8">
        <v>248.415</v>
      </c>
      <c r="G6" s="8">
        <v>248.419</v>
      </c>
      <c r="H6" s="7">
        <f t="shared" si="0"/>
        <v>248.417</v>
      </c>
      <c r="I6" s="7">
        <f t="shared" si="1"/>
        <v>248.3956385200001</v>
      </c>
      <c r="J6" s="9">
        <f>(I6-M5)*1000</f>
        <v>-178.4725363758639</v>
      </c>
      <c r="K6" s="10">
        <f t="shared" si="6"/>
        <v>3.4980697351372347</v>
      </c>
      <c r="L6" s="3">
        <f t="shared" si="2"/>
        <v>-0.00015813789104029768</v>
      </c>
      <c r="O6" s="17">
        <f t="shared" si="3"/>
        <v>3.4980697351372347</v>
      </c>
      <c r="P6">
        <v>3.498623</v>
      </c>
      <c r="Q6">
        <f t="shared" si="7"/>
        <v>3.4980979999999997</v>
      </c>
      <c r="R6">
        <f t="shared" si="8"/>
        <v>3.499148</v>
      </c>
      <c r="S6" s="31">
        <f t="shared" si="9"/>
        <v>-15.816290258815378</v>
      </c>
    </row>
    <row r="7" spans="1:19" ht="12.75">
      <c r="A7" s="1">
        <v>39393</v>
      </c>
      <c r="B7" s="2">
        <v>3.498651</v>
      </c>
      <c r="C7" s="22">
        <v>19.9</v>
      </c>
      <c r="D7" s="2">
        <f t="shared" si="4"/>
        <v>3.498500558007</v>
      </c>
      <c r="E7" s="9">
        <f t="shared" si="5"/>
        <v>39.49741709668102</v>
      </c>
      <c r="F7" s="8">
        <v>248.428</v>
      </c>
      <c r="G7" s="8">
        <v>248.475</v>
      </c>
      <c r="H7" s="7">
        <f t="shared" si="0"/>
        <v>248.4515</v>
      </c>
      <c r="I7" s="7">
        <f t="shared" si="1"/>
        <v>248.41200258290334</v>
      </c>
      <c r="J7" s="9">
        <f>(I7-M5)*1000</f>
        <v>-162.10847347261392</v>
      </c>
      <c r="K7" s="10">
        <f t="shared" si="6"/>
        <v>3.4981204637322345</v>
      </c>
      <c r="L7" s="3">
        <f t="shared" si="2"/>
        <v>-0.00014363830220212576</v>
      </c>
      <c r="O7" s="17">
        <f t="shared" si="3"/>
        <v>3.4981204637322345</v>
      </c>
      <c r="P7">
        <v>3.498623</v>
      </c>
      <c r="Q7">
        <f t="shared" si="7"/>
        <v>3.4980979999999997</v>
      </c>
      <c r="R7">
        <f t="shared" si="8"/>
        <v>3.499148</v>
      </c>
      <c r="S7" s="31">
        <f t="shared" si="9"/>
        <v>-14.365893712795097</v>
      </c>
    </row>
    <row r="8" spans="1:19" ht="12.75">
      <c r="A8" s="1">
        <v>39423</v>
      </c>
      <c r="B8" s="2">
        <v>3.49864</v>
      </c>
      <c r="C8" s="2">
        <v>19.93</v>
      </c>
      <c r="D8" s="2">
        <f t="shared" si="4"/>
        <v>3.498534690936</v>
      </c>
      <c r="E8" s="9">
        <f t="shared" si="5"/>
        <v>28.48679483872133</v>
      </c>
      <c r="F8" s="8">
        <v>248.416</v>
      </c>
      <c r="G8" s="8">
        <v>248.464</v>
      </c>
      <c r="H8" s="7">
        <f t="shared" si="0"/>
        <v>248.44</v>
      </c>
      <c r="I8" s="7">
        <f t="shared" si="1"/>
        <v>248.41151320516127</v>
      </c>
      <c r="J8" s="9">
        <f>(I8-M5)*1000</f>
        <v>-162.5978512146844</v>
      </c>
      <c r="K8" s="10">
        <f t="shared" si="6"/>
        <v>3.498118946661234</v>
      </c>
      <c r="L8" s="3">
        <f t="shared" si="2"/>
        <v>-0.00014407192165765973</v>
      </c>
      <c r="O8" s="17">
        <f t="shared" si="3"/>
        <v>3.498118946661234</v>
      </c>
      <c r="P8">
        <v>3.498623</v>
      </c>
      <c r="Q8">
        <f t="shared" si="7"/>
        <v>3.4980979999999997</v>
      </c>
      <c r="R8">
        <f t="shared" si="8"/>
        <v>3.499148</v>
      </c>
      <c r="S8" s="31">
        <f t="shared" si="9"/>
        <v>-14.409268136716111</v>
      </c>
    </row>
    <row r="9" spans="1:19" ht="12.75">
      <c r="A9" s="1">
        <v>39455</v>
      </c>
      <c r="B9" s="2">
        <v>3.498655</v>
      </c>
      <c r="C9" s="2">
        <v>19.92</v>
      </c>
      <c r="D9" s="2">
        <f t="shared" si="4"/>
        <v>3.498534646268</v>
      </c>
      <c r="E9" s="9">
        <f t="shared" si="5"/>
        <v>28.50120387096827</v>
      </c>
      <c r="F9" s="8">
        <v>248.449</v>
      </c>
      <c r="G9" s="8">
        <v>248.528</v>
      </c>
      <c r="H9" s="7">
        <f t="shared" si="0"/>
        <v>248.4885</v>
      </c>
      <c r="I9" s="7">
        <f t="shared" si="1"/>
        <v>248.459998796129</v>
      </c>
      <c r="J9" s="9">
        <f>(I9-M5)*1000</f>
        <v>-114.11226024694088</v>
      </c>
      <c r="K9" s="10">
        <f t="shared" si="6"/>
        <v>3.4982692519932344</v>
      </c>
      <c r="L9" s="3">
        <f t="shared" si="2"/>
        <v>-0.00010111063889006165</v>
      </c>
      <c r="O9" s="17">
        <f t="shared" si="3"/>
        <v>3.4982692519932344</v>
      </c>
      <c r="P9">
        <v>3.498623</v>
      </c>
      <c r="Q9">
        <f t="shared" si="7"/>
        <v>3.4980979999999997</v>
      </c>
      <c r="R9">
        <f t="shared" si="8"/>
        <v>3.499148</v>
      </c>
      <c r="S9" s="31">
        <f t="shared" si="9"/>
        <v>-10.112086328515353</v>
      </c>
    </row>
    <row r="10" spans="1:19" ht="12.75">
      <c r="A10" s="1">
        <v>39486</v>
      </c>
      <c r="B10" s="2">
        <v>3.498653</v>
      </c>
      <c r="C10" s="2">
        <v>19.93</v>
      </c>
      <c r="D10" s="2">
        <f t="shared" si="4"/>
        <v>3.4985476905447</v>
      </c>
      <c r="E10" s="9">
        <f t="shared" si="5"/>
        <v>24.2933726773796</v>
      </c>
      <c r="F10" s="8">
        <v>248.516</v>
      </c>
      <c r="G10" s="2">
        <v>248.558</v>
      </c>
      <c r="H10" s="7">
        <f t="shared" si="0"/>
        <v>248.53699999999998</v>
      </c>
      <c r="I10" s="7">
        <f t="shared" si="1"/>
        <v>248.5127066273226</v>
      </c>
      <c r="J10" s="9">
        <f>(I10-M5)*1000</f>
        <v>-61.4044290533684</v>
      </c>
      <c r="K10" s="10">
        <f t="shared" si="6"/>
        <v>3.498432646269934</v>
      </c>
      <c r="L10" s="3">
        <f t="shared" si="2"/>
        <v>-5.4408185753536615E-05</v>
      </c>
      <c r="O10" s="17">
        <f t="shared" si="3"/>
        <v>3.498432646269934</v>
      </c>
      <c r="P10">
        <v>3.498623</v>
      </c>
      <c r="Q10">
        <f t="shared" si="7"/>
        <v>3.4980979999999997</v>
      </c>
      <c r="R10">
        <f t="shared" si="8"/>
        <v>3.499148</v>
      </c>
      <c r="S10" s="31">
        <f t="shared" si="9"/>
        <v>-5.441114616528424</v>
      </c>
    </row>
    <row r="11" spans="1:19" ht="12.75">
      <c r="A11" s="1">
        <v>39546</v>
      </c>
      <c r="B11" s="2">
        <v>3.498641</v>
      </c>
      <c r="C11" s="2">
        <v>20.05</v>
      </c>
      <c r="D11" s="2">
        <f t="shared" si="4"/>
        <v>3.4987162207814997</v>
      </c>
      <c r="E11" s="9">
        <f t="shared" si="5"/>
        <v>-30.071219838667673</v>
      </c>
      <c r="F11" s="7">
        <v>248.405</v>
      </c>
      <c r="G11" s="2">
        <v>248.44</v>
      </c>
      <c r="H11" s="7">
        <f t="shared" si="0"/>
        <v>248.4225</v>
      </c>
      <c r="I11" s="7">
        <f t="shared" si="1"/>
        <v>248.4525712198387</v>
      </c>
      <c r="J11" s="9">
        <f>(I11-M5)*1000</f>
        <v>-121.53983653726641</v>
      </c>
      <c r="K11" s="10">
        <f t="shared" si="6"/>
        <v>3.4982462265067342</v>
      </c>
      <c r="L11" s="3">
        <f t="shared" si="2"/>
        <v>-0.00010769193859000869</v>
      </c>
      <c r="O11" s="17">
        <f t="shared" si="3"/>
        <v>3.4982462265067342</v>
      </c>
      <c r="P11">
        <v>3.498623</v>
      </c>
      <c r="Q11">
        <f t="shared" si="7"/>
        <v>3.4980979999999997</v>
      </c>
      <c r="R11">
        <f t="shared" si="8"/>
        <v>3.499148</v>
      </c>
      <c r="S11" s="31">
        <f t="shared" si="9"/>
        <v>-10.770353739274352</v>
      </c>
    </row>
    <row r="12" spans="1:19" ht="12.75">
      <c r="A12" s="1">
        <v>39576</v>
      </c>
      <c r="B12" s="2">
        <v>3.498677</v>
      </c>
      <c r="C12" s="2">
        <v>19.97</v>
      </c>
      <c r="D12" s="2">
        <f t="shared" si="4"/>
        <v>3.4986318670667</v>
      </c>
      <c r="E12" s="9">
        <f t="shared" si="5"/>
        <v>-2.8603440967749574</v>
      </c>
      <c r="F12" s="8">
        <v>248.522</v>
      </c>
      <c r="G12" s="2">
        <v>248.57</v>
      </c>
      <c r="H12" s="7">
        <f t="shared" si="0"/>
        <v>248.546</v>
      </c>
      <c r="I12" s="7">
        <f t="shared" si="1"/>
        <v>248.54886034409677</v>
      </c>
      <c r="J12" s="9">
        <f>(I12-M5)*1000</f>
        <v>-25.250712279188292</v>
      </c>
      <c r="K12" s="10">
        <f t="shared" si="6"/>
        <v>3.498544722791934</v>
      </c>
      <c r="L12" s="3">
        <f t="shared" si="2"/>
        <v>-2.237371905050523E-05</v>
      </c>
      <c r="O12" s="17">
        <f t="shared" si="3"/>
        <v>3.498544722791934</v>
      </c>
      <c r="P12">
        <v>3.498623</v>
      </c>
      <c r="Q12">
        <f t="shared" si="7"/>
        <v>3.4980979999999997</v>
      </c>
      <c r="R12">
        <f t="shared" si="8"/>
        <v>3.499148</v>
      </c>
      <c r="S12" s="31">
        <f t="shared" si="9"/>
        <v>-2.2374219645009545</v>
      </c>
    </row>
    <row r="13" spans="1:19" ht="12.75">
      <c r="A13" s="1">
        <v>39637</v>
      </c>
      <c r="B13" s="2">
        <v>3.498676</v>
      </c>
      <c r="C13" s="2">
        <v>20.02</v>
      </c>
      <c r="D13" s="2">
        <f t="shared" si="4"/>
        <v>3.4987060886136</v>
      </c>
      <c r="E13" s="9">
        <f t="shared" si="5"/>
        <v>-26.802778580667287</v>
      </c>
      <c r="F13" s="8">
        <v>248.586</v>
      </c>
      <c r="G13" s="2">
        <v>248.631</v>
      </c>
      <c r="H13" s="7">
        <f t="shared" si="0"/>
        <v>248.6085</v>
      </c>
      <c r="I13" s="7">
        <f t="shared" si="1"/>
        <v>248.63530277858067</v>
      </c>
      <c r="J13" s="9">
        <f>(I13-M5)*1000</f>
        <v>61.19172220471114</v>
      </c>
      <c r="K13" s="10">
        <f t="shared" si="6"/>
        <v>3.4988126943388345</v>
      </c>
      <c r="L13" s="3">
        <f t="shared" si="2"/>
        <v>5.421971410884941E-05</v>
      </c>
      <c r="O13" s="17">
        <f t="shared" si="3"/>
        <v>3.4988126943388345</v>
      </c>
      <c r="P13">
        <v>3.498623</v>
      </c>
      <c r="Q13">
        <f t="shared" si="7"/>
        <v>3.4980979999999997</v>
      </c>
      <c r="R13">
        <f t="shared" si="8"/>
        <v>3.499148</v>
      </c>
      <c r="S13" s="31">
        <f t="shared" si="9"/>
        <v>5.421677449083662</v>
      </c>
    </row>
    <row r="14" spans="1:19" ht="12.75">
      <c r="A14" s="1">
        <v>39668</v>
      </c>
      <c r="B14" s="2">
        <v>3.498618</v>
      </c>
      <c r="C14" s="2">
        <v>19.95</v>
      </c>
      <c r="D14" s="2">
        <f t="shared" si="4"/>
        <v>3.498542779713</v>
      </c>
      <c r="E14" s="9">
        <f t="shared" si="5"/>
        <v>25.877511935429844</v>
      </c>
      <c r="F14" s="7">
        <v>248.556</v>
      </c>
      <c r="G14" s="2">
        <v>248.48</v>
      </c>
      <c r="H14" s="7">
        <f t="shared" si="0"/>
        <v>248.518</v>
      </c>
      <c r="I14" s="7">
        <f t="shared" si="1"/>
        <v>248.49212248806458</v>
      </c>
      <c r="J14" s="9">
        <f>(I14-M5)*1000</f>
        <v>-81.98856831137391</v>
      </c>
      <c r="K14" s="10">
        <f t="shared" si="6"/>
        <v>3.4983688354382347</v>
      </c>
      <c r="L14" s="3">
        <f aca="true" t="shared" si="10" ref="L14:L19">(K14-3.498623)/3.498623</f>
        <v>-7.264702763489524E-05</v>
      </c>
      <c r="O14" s="17">
        <f t="shared" si="3"/>
        <v>3.4983688354382347</v>
      </c>
      <c r="P14">
        <v>3.498623</v>
      </c>
      <c r="Q14">
        <f t="shared" si="7"/>
        <v>3.4980979999999997</v>
      </c>
      <c r="R14">
        <f t="shared" si="8"/>
        <v>3.499148</v>
      </c>
      <c r="S14" s="31">
        <f t="shared" si="9"/>
        <v>-7.265230560894855</v>
      </c>
    </row>
    <row r="15" spans="1:19" ht="12.75">
      <c r="A15" s="1">
        <v>39699</v>
      </c>
      <c r="B15" s="2">
        <v>3.498627</v>
      </c>
      <c r="C15" s="2">
        <v>19.95</v>
      </c>
      <c r="D15" s="2">
        <f t="shared" si="4"/>
        <v>3.4985517795195</v>
      </c>
      <c r="E15" s="9">
        <f t="shared" si="5"/>
        <v>22.974348548319217</v>
      </c>
      <c r="F15" s="8">
        <v>248.548</v>
      </c>
      <c r="G15" s="2">
        <v>248.553</v>
      </c>
      <c r="H15" s="7">
        <f t="shared" si="0"/>
        <v>248.5505</v>
      </c>
      <c r="I15" s="7">
        <f t="shared" si="1"/>
        <v>248.52752565145167</v>
      </c>
      <c r="J15" s="9">
        <f>(I15-M5)*1000</f>
        <v>-46.58540492428642</v>
      </c>
      <c r="K15" s="10">
        <f t="shared" si="6"/>
        <v>3.4984785852447344</v>
      </c>
      <c r="L15" s="3">
        <f t="shared" si="10"/>
        <v>-4.127759843383737E-05</v>
      </c>
      <c r="O15" s="17">
        <f t="shared" si="3"/>
        <v>3.4984785852447344</v>
      </c>
      <c r="P15">
        <v>3.498623</v>
      </c>
      <c r="Q15">
        <f t="shared" si="7"/>
        <v>3.4980979999999997</v>
      </c>
      <c r="R15">
        <f t="shared" si="8"/>
        <v>3.499148</v>
      </c>
      <c r="S15" s="31">
        <f t="shared" si="9"/>
        <v>-4.127930234430316</v>
      </c>
    </row>
    <row r="16" spans="1:19" ht="12.75">
      <c r="A16" s="1">
        <v>39729</v>
      </c>
      <c r="B16" s="2">
        <v>3.498623</v>
      </c>
      <c r="C16" s="2">
        <v>19.91</v>
      </c>
      <c r="D16" s="2">
        <f t="shared" si="4"/>
        <v>3.4984876032899</v>
      </c>
      <c r="E16" s="9">
        <f t="shared" si="5"/>
        <v>43.676358096663094</v>
      </c>
      <c r="F16" s="8">
        <v>248.608</v>
      </c>
      <c r="G16" s="2">
        <v>248.63</v>
      </c>
      <c r="H16" s="7">
        <f t="shared" si="0"/>
        <v>248.619</v>
      </c>
      <c r="I16" s="7">
        <f t="shared" si="1"/>
        <v>248.57532364190334</v>
      </c>
      <c r="J16" s="9">
        <f>(I16-M5)*1000</f>
        <v>1.2125855273836805</v>
      </c>
      <c r="K16" s="10">
        <f t="shared" si="6"/>
        <v>3.4986267590151345</v>
      </c>
      <c r="L16" s="3">
        <f t="shared" si="10"/>
        <v>1.0744270344986812E-06</v>
      </c>
      <c r="O16" s="17">
        <f t="shared" si="3"/>
        <v>3.4986267590151345</v>
      </c>
      <c r="P16">
        <v>3.498623</v>
      </c>
      <c r="Q16">
        <f t="shared" si="7"/>
        <v>3.4980979999999997</v>
      </c>
      <c r="R16">
        <f t="shared" si="8"/>
        <v>3.499148</v>
      </c>
      <c r="S16" s="31">
        <f t="shared" si="9"/>
        <v>0.1074425880106469</v>
      </c>
    </row>
    <row r="17" spans="1:19" ht="12.75">
      <c r="A17" s="1">
        <v>39729</v>
      </c>
      <c r="B17" s="2">
        <v>3.498641</v>
      </c>
      <c r="C17" s="2">
        <v>20.04</v>
      </c>
      <c r="D17" s="2">
        <f t="shared" si="4"/>
        <v>3.4987011766252003</v>
      </c>
      <c r="E17" s="9">
        <f t="shared" si="5"/>
        <v>-25.21826619370576</v>
      </c>
      <c r="F17" s="8">
        <v>248.558</v>
      </c>
      <c r="G17" s="2">
        <v>248.591</v>
      </c>
      <c r="H17" s="7">
        <f t="shared" si="0"/>
        <v>248.5745</v>
      </c>
      <c r="I17" s="7">
        <f t="shared" si="1"/>
        <v>248.59971826619372</v>
      </c>
      <c r="J17" s="9">
        <f>(I17-M5)*1000</f>
        <v>25.607209817763987</v>
      </c>
      <c r="K17" s="10">
        <f t="shared" si="6"/>
        <v>3.498702382350435</v>
      </c>
      <c r="L17" s="3">
        <f t="shared" si="10"/>
        <v>2.2689598289170656E-05</v>
      </c>
      <c r="O17" s="17">
        <f t="shared" si="3"/>
        <v>3.498702382350435</v>
      </c>
      <c r="P17">
        <v>3.498623</v>
      </c>
      <c r="Q17">
        <f t="shared" si="7"/>
        <v>3.4980979999999997</v>
      </c>
      <c r="R17">
        <f t="shared" si="8"/>
        <v>3.499148</v>
      </c>
      <c r="S17" s="31">
        <f t="shared" si="9"/>
        <v>2.268908348298088</v>
      </c>
    </row>
    <row r="18" spans="1:19" ht="12.75">
      <c r="A18" s="1">
        <v>39760</v>
      </c>
      <c r="B18" s="2">
        <v>3.498646</v>
      </c>
      <c r="C18" s="2">
        <v>19.98</v>
      </c>
      <c r="D18" s="2">
        <f t="shared" si="4"/>
        <v>3.4986159116444</v>
      </c>
      <c r="E18" s="9">
        <f t="shared" si="5"/>
        <v>2.2865663225212254</v>
      </c>
      <c r="F18" s="8">
        <v>248.61</v>
      </c>
      <c r="G18" s="2">
        <v>248.645</v>
      </c>
      <c r="H18" s="7">
        <f t="shared" si="0"/>
        <v>248.6275</v>
      </c>
      <c r="I18" s="7">
        <f t="shared" si="1"/>
        <v>248.6252134336775</v>
      </c>
      <c r="J18" s="9">
        <f>(I18-M5)*1000</f>
        <v>51.10237730153244</v>
      </c>
      <c r="K18" s="10">
        <f t="shared" si="6"/>
        <v>3.4987814173696345</v>
      </c>
      <c r="L18" s="3">
        <f t="shared" si="10"/>
        <v>4.527992002417337E-05</v>
      </c>
      <c r="O18" s="17">
        <f t="shared" si="3"/>
        <v>3.4987814173696345</v>
      </c>
      <c r="P18">
        <v>3.498623</v>
      </c>
      <c r="Q18">
        <f t="shared" si="7"/>
        <v>3.4980979999999997</v>
      </c>
      <c r="R18">
        <f t="shared" si="8"/>
        <v>3.499148</v>
      </c>
      <c r="S18" s="31">
        <f t="shared" si="9"/>
        <v>4.527786984584789</v>
      </c>
    </row>
    <row r="19" spans="1:19" ht="12.75">
      <c r="A19" s="1">
        <v>39822</v>
      </c>
      <c r="B19" s="2">
        <v>3.498623</v>
      </c>
      <c r="C19" s="2">
        <v>19.94</v>
      </c>
      <c r="D19" s="2">
        <f t="shared" si="4"/>
        <v>3.4985327355266</v>
      </c>
      <c r="E19" s="9">
        <f t="shared" si="5"/>
        <v>29.11757206444206</v>
      </c>
      <c r="F19" s="8">
        <v>248.554</v>
      </c>
      <c r="G19" s="2">
        <v>248.584</v>
      </c>
      <c r="H19" s="7">
        <f t="shared" si="0"/>
        <v>248.56900000000002</v>
      </c>
      <c r="I19" s="7">
        <f t="shared" si="1"/>
        <v>248.53988242793557</v>
      </c>
      <c r="J19" s="9">
        <f>(I19-M5)*1000</f>
        <v>-34.22862844038832</v>
      </c>
      <c r="K19" s="10">
        <f t="shared" si="6"/>
        <v>3.4985168912518345</v>
      </c>
      <c r="L19" s="3">
        <f t="shared" si="10"/>
        <v>-3.032871737403577E-05</v>
      </c>
      <c r="O19" s="17">
        <f t="shared" si="3"/>
        <v>3.4985168912518345</v>
      </c>
      <c r="P19">
        <v>3.498623</v>
      </c>
      <c r="Q19">
        <f t="shared" si="7"/>
        <v>3.4980979999999997</v>
      </c>
      <c r="R19">
        <f t="shared" si="8"/>
        <v>3.499148</v>
      </c>
      <c r="S19" s="31">
        <f t="shared" si="9"/>
        <v>-3.032963723303147</v>
      </c>
    </row>
    <row r="20" spans="1:19" ht="12.75">
      <c r="A20" s="1">
        <v>39853</v>
      </c>
      <c r="B20" s="2">
        <v>3.49863</v>
      </c>
      <c r="C20" s="2">
        <v>19.98</v>
      </c>
      <c r="D20" s="2">
        <f t="shared" si="4"/>
        <v>3.4985999117819997</v>
      </c>
      <c r="E20" s="9">
        <f t="shared" si="5"/>
        <v>7.4478122581039985</v>
      </c>
      <c r="F20" s="8">
        <v>248.53</v>
      </c>
      <c r="G20" s="2">
        <v>248.572</v>
      </c>
      <c r="H20" s="7">
        <f t="shared" si="0"/>
        <v>248.551</v>
      </c>
      <c r="I20" s="7">
        <f t="shared" si="1"/>
        <v>248.54355218774188</v>
      </c>
      <c r="J20" s="9">
        <f>(I20-M5)*1000</f>
        <v>-30.558868634074088</v>
      </c>
      <c r="K20" s="10">
        <f t="shared" si="6"/>
        <v>3.498528267507234</v>
      </c>
      <c r="L20" s="3">
        <f aca="true" t="shared" si="11" ref="L20:L32">(K20-3.498623)/3.498623</f>
        <v>-2.707707940118567E-05</v>
      </c>
      <c r="O20" s="17">
        <f t="shared" si="3"/>
        <v>3.498528267507234</v>
      </c>
      <c r="P20">
        <v>3.498623</v>
      </c>
      <c r="Q20">
        <f t="shared" si="7"/>
        <v>3.4980979999999997</v>
      </c>
      <c r="R20">
        <f t="shared" si="8"/>
        <v>3.499148</v>
      </c>
      <c r="S20" s="31">
        <f t="shared" si="9"/>
        <v>-2.7077812589267163</v>
      </c>
    </row>
    <row r="21" spans="1:19" ht="12.75">
      <c r="A21" s="1">
        <v>39881</v>
      </c>
      <c r="B21" s="2">
        <v>3.498623</v>
      </c>
      <c r="C21" s="14">
        <v>20</v>
      </c>
      <c r="D21" s="2">
        <f t="shared" si="4"/>
        <v>3.498623</v>
      </c>
      <c r="E21" s="9">
        <f t="shared" si="5"/>
        <v>0</v>
      </c>
      <c r="F21" s="8">
        <v>248.543</v>
      </c>
      <c r="G21" s="2">
        <v>248.586</v>
      </c>
      <c r="H21" s="7">
        <f t="shared" si="0"/>
        <v>248.5645</v>
      </c>
      <c r="I21" s="7">
        <f aca="true" t="shared" si="12" ref="I21:I32">H21-E21/1000</f>
        <v>248.5645</v>
      </c>
      <c r="J21" s="9">
        <f>(I21-M5)*1000</f>
        <v>-9.611056375945282</v>
      </c>
      <c r="K21" s="10">
        <f t="shared" si="6"/>
        <v>3.4985932057252342</v>
      </c>
      <c r="L21" s="3">
        <f t="shared" si="11"/>
        <v>-8.516000370880504E-06</v>
      </c>
      <c r="O21" s="17">
        <f t="shared" si="3"/>
        <v>3.4985932057252342</v>
      </c>
      <c r="P21">
        <v>3.498623</v>
      </c>
      <c r="Q21">
        <f t="shared" si="7"/>
        <v>3.4980979999999997</v>
      </c>
      <c r="R21">
        <f t="shared" si="8"/>
        <v>3.499148</v>
      </c>
      <c r="S21" s="31">
        <f t="shared" si="9"/>
        <v>-0.8516072893760426</v>
      </c>
    </row>
    <row r="22" spans="1:19" ht="12.75">
      <c r="A22" s="1">
        <v>39912</v>
      </c>
      <c r="B22" s="2">
        <v>3.498648</v>
      </c>
      <c r="C22" s="2">
        <v>19.96</v>
      </c>
      <c r="D22" s="2">
        <f t="shared" si="4"/>
        <v>3.4985878232544</v>
      </c>
      <c r="E22" s="9">
        <f t="shared" si="5"/>
        <v>11.347337290303475</v>
      </c>
      <c r="F22" s="8">
        <v>248.534</v>
      </c>
      <c r="G22" s="2">
        <v>248.59</v>
      </c>
      <c r="H22" s="7">
        <f t="shared" si="0"/>
        <v>248.562</v>
      </c>
      <c r="I22" s="7">
        <f t="shared" si="12"/>
        <v>248.5506526627097</v>
      </c>
      <c r="J22" s="9">
        <f>(I22-M5)*1000</f>
        <v>-23.458393666260235</v>
      </c>
      <c r="K22" s="10">
        <f t="shared" si="6"/>
        <v>3.4985502789796343</v>
      </c>
      <c r="L22" s="3">
        <f t="shared" si="11"/>
        <v>-2.07856120437912E-05</v>
      </c>
      <c r="O22" s="17">
        <f t="shared" si="3"/>
        <v>3.4985502789796343</v>
      </c>
      <c r="P22">
        <v>3.498623</v>
      </c>
      <c r="Q22">
        <f t="shared" si="7"/>
        <v>3.4980979999999997</v>
      </c>
      <c r="R22">
        <f t="shared" si="8"/>
        <v>3.499148</v>
      </c>
      <c r="S22" s="31">
        <f t="shared" si="9"/>
        <v>-2.078604409443967</v>
      </c>
    </row>
    <row r="23" spans="1:19" ht="12.75">
      <c r="A23" s="1">
        <v>39942</v>
      </c>
      <c r="B23" s="2">
        <v>3.498656</v>
      </c>
      <c r="C23" s="2">
        <v>19.97</v>
      </c>
      <c r="D23" s="2">
        <f t="shared" si="4"/>
        <v>3.4986108673376</v>
      </c>
      <c r="E23" s="9">
        <f t="shared" si="5"/>
        <v>3.913762064397799</v>
      </c>
      <c r="F23" s="8">
        <v>248.519</v>
      </c>
      <c r="G23" s="2">
        <v>248.569</v>
      </c>
      <c r="H23" s="7">
        <f t="shared" si="0"/>
        <v>248.54399999999998</v>
      </c>
      <c r="I23" s="7">
        <f t="shared" si="12"/>
        <v>248.54008623793558</v>
      </c>
      <c r="J23" s="9">
        <f>(I23-M5)*1000</f>
        <v>-34.02481844037197</v>
      </c>
      <c r="K23" s="10">
        <f t="shared" si="6"/>
        <v>3.4985175230628345</v>
      </c>
      <c r="L23" s="3">
        <f t="shared" si="11"/>
        <v>-3.0148128896808422E-05</v>
      </c>
      <c r="O23" s="17">
        <f t="shared" si="3"/>
        <v>3.4985175230628345</v>
      </c>
      <c r="P23">
        <v>3.498623</v>
      </c>
      <c r="Q23">
        <f t="shared" si="7"/>
        <v>3.4980979999999997</v>
      </c>
      <c r="R23">
        <f t="shared" si="8"/>
        <v>3.499148</v>
      </c>
      <c r="S23" s="31">
        <f t="shared" si="9"/>
        <v>-3.0149037833887156</v>
      </c>
    </row>
    <row r="24" spans="1:19" ht="12.75">
      <c r="A24" s="1">
        <v>40003</v>
      </c>
      <c r="B24" s="2">
        <v>3.498617</v>
      </c>
      <c r="C24" s="2">
        <v>20.01</v>
      </c>
      <c r="D24" s="2">
        <f t="shared" si="4"/>
        <v>3.4986320440531</v>
      </c>
      <c r="E24" s="9">
        <f t="shared" si="5"/>
        <v>-2.917436483936938</v>
      </c>
      <c r="F24" s="8">
        <v>248.538</v>
      </c>
      <c r="G24" s="2">
        <v>248.575</v>
      </c>
      <c r="H24" s="7">
        <f t="shared" si="0"/>
        <v>248.5565</v>
      </c>
      <c r="I24" s="7">
        <f t="shared" si="12"/>
        <v>248.55941743648393</v>
      </c>
      <c r="J24" s="9">
        <f>(I24-M5)*1000</f>
        <v>-14.693619892028664</v>
      </c>
      <c r="K24" s="10">
        <f t="shared" si="6"/>
        <v>3.4985774497783346</v>
      </c>
      <c r="L24" s="3">
        <f t="shared" si="11"/>
        <v>-1.3019471279183701E-05</v>
      </c>
      <c r="O24" s="17">
        <f t="shared" si="3"/>
        <v>3.4985774497783346</v>
      </c>
      <c r="P24">
        <v>3.498623</v>
      </c>
      <c r="Q24">
        <f t="shared" si="7"/>
        <v>3.4980979999999997</v>
      </c>
      <c r="R24">
        <f t="shared" si="8"/>
        <v>3.499148</v>
      </c>
      <c r="S24" s="31">
        <f t="shared" si="9"/>
        <v>-1.3019640788023006</v>
      </c>
    </row>
    <row r="25" spans="1:19" ht="12.75">
      <c r="A25" s="1">
        <v>40065</v>
      </c>
      <c r="B25" s="2">
        <v>3.498616</v>
      </c>
      <c r="C25" s="2">
        <v>19.95</v>
      </c>
      <c r="D25" s="2">
        <f t="shared" si="4"/>
        <v>3.498540779756</v>
      </c>
      <c r="E25" s="9">
        <f t="shared" si="5"/>
        <v>26.522659354787763</v>
      </c>
      <c r="F25" s="8">
        <v>248.599</v>
      </c>
      <c r="G25" s="2">
        <v>248.646</v>
      </c>
      <c r="H25" s="7">
        <f t="shared" si="0"/>
        <v>248.6225</v>
      </c>
      <c r="I25" s="7">
        <f t="shared" si="12"/>
        <v>248.59597734064522</v>
      </c>
      <c r="J25" s="9">
        <f>(I25-M5)*1000</f>
        <v>21.86628426926518</v>
      </c>
      <c r="K25" s="10">
        <f t="shared" si="6"/>
        <v>3.4986907854812346</v>
      </c>
      <c r="L25" s="3">
        <f t="shared" si="11"/>
        <v>1.9374902993195078E-05</v>
      </c>
      <c r="O25" s="17">
        <f t="shared" si="3"/>
        <v>3.4986907854812346</v>
      </c>
      <c r="P25">
        <v>3.498623</v>
      </c>
      <c r="Q25">
        <f t="shared" si="7"/>
        <v>3.4980979999999997</v>
      </c>
      <c r="R25">
        <f t="shared" si="8"/>
        <v>3.499148</v>
      </c>
      <c r="S25" s="31">
        <f t="shared" si="9"/>
        <v>1.9374527613602024</v>
      </c>
    </row>
    <row r="26" spans="1:19" ht="12.75">
      <c r="A26" s="1">
        <v>40095</v>
      </c>
      <c r="B26" s="2">
        <v>3.49861</v>
      </c>
      <c r="C26" s="2">
        <v>19.97</v>
      </c>
      <c r="D26" s="2">
        <f t="shared" si="4"/>
        <v>3.4985648679310004</v>
      </c>
      <c r="E26" s="9">
        <f t="shared" si="5"/>
        <v>18.752280322388973</v>
      </c>
      <c r="F26" s="8">
        <v>248.496</v>
      </c>
      <c r="G26" s="2">
        <v>248.548</v>
      </c>
      <c r="H26" s="7">
        <f t="shared" si="0"/>
        <v>248.522</v>
      </c>
      <c r="I26" s="7">
        <f t="shared" si="12"/>
        <v>248.5032477196776</v>
      </c>
      <c r="J26" s="9">
        <f>(I26-M5)*1000</f>
        <v>-70.86333669835199</v>
      </c>
      <c r="K26" s="10">
        <f t="shared" si="6"/>
        <v>3.498403323656235</v>
      </c>
      <c r="L26" s="3">
        <f t="shared" si="11"/>
        <v>-6.278937278036614E-05</v>
      </c>
      <c r="O26" s="17">
        <f t="shared" si="3"/>
        <v>3.498403323656235</v>
      </c>
      <c r="P26">
        <v>3.498623</v>
      </c>
      <c r="Q26">
        <f t="shared" si="7"/>
        <v>3.4980979999999997</v>
      </c>
      <c r="R26">
        <f t="shared" si="8"/>
        <v>3.499148</v>
      </c>
      <c r="S26" s="31">
        <f t="shared" si="9"/>
        <v>-6.279331553326328</v>
      </c>
    </row>
    <row r="27" spans="1:19" ht="12.75">
      <c r="A27" s="1">
        <v>40126</v>
      </c>
      <c r="B27" s="2">
        <v>3.498625</v>
      </c>
      <c r="C27" s="2">
        <v>19.96</v>
      </c>
      <c r="D27" s="2">
        <f t="shared" si="4"/>
        <v>3.4985648236499998</v>
      </c>
      <c r="E27" s="9">
        <f t="shared" si="5"/>
        <v>18.76656451614511</v>
      </c>
      <c r="F27" s="8">
        <v>248.564</v>
      </c>
      <c r="G27" s="2">
        <v>248.617</v>
      </c>
      <c r="H27" s="7">
        <f t="shared" si="0"/>
        <v>248.5905</v>
      </c>
      <c r="I27" s="7">
        <f t="shared" si="12"/>
        <v>248.57173343548385</v>
      </c>
      <c r="J27" s="9">
        <f>(I27-M5)*1000</f>
        <v>-2.3776208921049147</v>
      </c>
      <c r="K27" s="10">
        <f t="shared" si="6"/>
        <v>3.498615629375234</v>
      </c>
      <c r="L27" s="3">
        <f t="shared" si="11"/>
        <v>-2.106721634664455E-06</v>
      </c>
      <c r="O27" s="17">
        <f t="shared" si="3"/>
        <v>3.498615629375234</v>
      </c>
      <c r="P27">
        <v>3.498623</v>
      </c>
      <c r="Q27">
        <f t="shared" si="7"/>
        <v>3.4980979999999997</v>
      </c>
      <c r="R27">
        <f t="shared" si="8"/>
        <v>3.499148</v>
      </c>
      <c r="S27" s="31">
        <f t="shared" si="9"/>
        <v>-0.2106726072949851</v>
      </c>
    </row>
    <row r="28" spans="1:19" ht="12.75">
      <c r="A28" s="1">
        <v>40156</v>
      </c>
      <c r="B28" s="2">
        <v>3.498643</v>
      </c>
      <c r="C28" s="2">
        <v>20.04</v>
      </c>
      <c r="D28" s="2">
        <f t="shared" si="4"/>
        <v>3.4987031766596</v>
      </c>
      <c r="E28" s="9">
        <f t="shared" si="5"/>
        <v>-25.863438580761834</v>
      </c>
      <c r="F28" s="8">
        <v>248.479</v>
      </c>
      <c r="G28" s="2">
        <v>248.52</v>
      </c>
      <c r="H28" s="7">
        <f t="shared" si="0"/>
        <v>248.4995</v>
      </c>
      <c r="I28" s="7">
        <f t="shared" si="12"/>
        <v>248.52536343858077</v>
      </c>
      <c r="J28" s="9">
        <f>(I28-M5)*1000</f>
        <v>-48.747617795186216</v>
      </c>
      <c r="K28" s="10">
        <f t="shared" si="6"/>
        <v>3.498471882384835</v>
      </c>
      <c r="L28" s="3">
        <f t="shared" si="11"/>
        <v>-4.3193455015002454E-05</v>
      </c>
      <c r="O28" s="17">
        <f t="shared" si="3"/>
        <v>3.498471882384835</v>
      </c>
      <c r="P28">
        <v>3.498623</v>
      </c>
      <c r="Q28">
        <f t="shared" si="7"/>
        <v>3.4980979999999997</v>
      </c>
      <c r="R28">
        <f t="shared" si="8"/>
        <v>3.499148</v>
      </c>
      <c r="S28" s="31">
        <f t="shared" si="9"/>
        <v>-4.3195320770147</v>
      </c>
    </row>
    <row r="29" spans="1:19" ht="12.75">
      <c r="A29" s="1">
        <v>40219</v>
      </c>
      <c r="B29" s="2">
        <v>3.498646</v>
      </c>
      <c r="C29" s="2">
        <v>20.01</v>
      </c>
      <c r="D29" s="2">
        <f t="shared" si="4"/>
        <v>3.4986610441778003</v>
      </c>
      <c r="E29" s="9">
        <f t="shared" si="5"/>
        <v>-12.272315419519803</v>
      </c>
      <c r="F29" s="8">
        <v>248.575</v>
      </c>
      <c r="G29" s="2">
        <v>248.603</v>
      </c>
      <c r="H29" s="7">
        <f t="shared" si="0"/>
        <v>248.589</v>
      </c>
      <c r="I29" s="7">
        <f t="shared" si="12"/>
        <v>248.60127231541952</v>
      </c>
      <c r="J29" s="9">
        <f>(I29-M5)*1000</f>
        <v>27.161259043566588</v>
      </c>
      <c r="K29" s="10">
        <f t="shared" si="6"/>
        <v>3.498707199903035</v>
      </c>
      <c r="L29" s="3">
        <f t="shared" si="11"/>
        <v>2.4066583634535414E-05</v>
      </c>
      <c r="O29" s="17">
        <f t="shared" si="3"/>
        <v>3.498707199903035</v>
      </c>
      <c r="P29">
        <v>3.498623</v>
      </c>
      <c r="Q29">
        <f t="shared" si="7"/>
        <v>3.4980979999999997</v>
      </c>
      <c r="R29">
        <f t="shared" si="8"/>
        <v>3.499148</v>
      </c>
      <c r="S29" s="31">
        <f t="shared" si="9"/>
        <v>2.4066004448026614</v>
      </c>
    </row>
    <row r="30" spans="1:19" ht="12.75">
      <c r="A30" s="1">
        <v>40278</v>
      </c>
      <c r="B30" s="2">
        <v>3.49858</v>
      </c>
      <c r="C30" s="2">
        <v>20.04</v>
      </c>
      <c r="D30" s="2">
        <f t="shared" si="4"/>
        <v>3.4986401755760004</v>
      </c>
      <c r="E30" s="9">
        <f t="shared" si="5"/>
        <v>-5.540508387277731</v>
      </c>
      <c r="F30" s="8">
        <v>248.608</v>
      </c>
      <c r="G30" s="2">
        <v>248.636</v>
      </c>
      <c r="H30" s="7">
        <f t="shared" si="0"/>
        <v>248.622</v>
      </c>
      <c r="I30" s="7">
        <f t="shared" si="12"/>
        <v>248.62754050838728</v>
      </c>
      <c r="J30" s="9">
        <f>(I30-M5)*1000</f>
        <v>53.429452011329204</v>
      </c>
      <c r="K30" s="10">
        <f t="shared" si="6"/>
        <v>3.498788631301235</v>
      </c>
      <c r="L30" s="3">
        <f t="shared" si="11"/>
        <v>4.734185456256887E-05</v>
      </c>
      <c r="O30" s="17">
        <f t="shared" si="3"/>
        <v>3.498788631301235</v>
      </c>
      <c r="P30">
        <v>3.498623</v>
      </c>
      <c r="Q30">
        <f t="shared" si="7"/>
        <v>3.4980979999999997</v>
      </c>
      <c r="R30">
        <f t="shared" si="8"/>
        <v>3.499148</v>
      </c>
      <c r="S30" s="31">
        <f t="shared" si="9"/>
        <v>4.733961341747541</v>
      </c>
    </row>
    <row r="31" spans="1:19" ht="12.75">
      <c r="A31" s="1">
        <v>40308</v>
      </c>
      <c r="B31" s="2">
        <v>3.498622</v>
      </c>
      <c r="C31" s="14">
        <v>20</v>
      </c>
      <c r="D31" s="2">
        <f t="shared" si="4"/>
        <v>3.498622</v>
      </c>
      <c r="E31" s="9">
        <f t="shared" si="5"/>
        <v>0.3225806450631254</v>
      </c>
      <c r="F31" s="8">
        <v>248.586</v>
      </c>
      <c r="G31" s="8">
        <v>248.638</v>
      </c>
      <c r="H31" s="7">
        <f t="shared" si="0"/>
        <v>248.61200000000002</v>
      </c>
      <c r="I31" s="7">
        <f t="shared" si="12"/>
        <v>248.61167741935495</v>
      </c>
      <c r="J31" s="9">
        <f>(I31-M5)*1000</f>
        <v>37.56636297899263</v>
      </c>
      <c r="K31" s="10">
        <f t="shared" si="6"/>
        <v>3.4987394557252345</v>
      </c>
      <c r="L31" s="3">
        <f t="shared" si="11"/>
        <v>3.3286160079169836E-05</v>
      </c>
      <c r="O31" s="17">
        <f t="shared" si="3"/>
        <v>3.4987394557252345</v>
      </c>
      <c r="P31">
        <v>3.498623</v>
      </c>
      <c r="Q31">
        <f t="shared" si="7"/>
        <v>3.4980979999999997</v>
      </c>
      <c r="R31">
        <f t="shared" si="8"/>
        <v>3.499148</v>
      </c>
      <c r="S31" s="31">
        <f t="shared" si="9"/>
        <v>3.328505214759581</v>
      </c>
    </row>
    <row r="32" spans="1:19" ht="12.75">
      <c r="A32" s="1">
        <v>40339</v>
      </c>
      <c r="B32" s="2">
        <v>3.49865</v>
      </c>
      <c r="C32" s="2">
        <v>19.98</v>
      </c>
      <c r="D32" s="23">
        <f t="shared" si="4"/>
        <v>3.49861991161</v>
      </c>
      <c r="E32" s="9">
        <f t="shared" si="5"/>
        <v>0.9962548386255321</v>
      </c>
      <c r="F32" s="25">
        <v>248.699</v>
      </c>
      <c r="G32" s="2">
        <v>248.739</v>
      </c>
      <c r="H32" s="7">
        <f t="shared" si="0"/>
        <v>248.719</v>
      </c>
      <c r="I32" s="7">
        <f t="shared" si="12"/>
        <v>248.71800374516135</v>
      </c>
      <c r="J32" s="9">
        <f>(I32-M5)*1000</f>
        <v>143.8926887853995</v>
      </c>
      <c r="K32" s="10">
        <f t="shared" si="6"/>
        <v>3.4990690673352347</v>
      </c>
      <c r="L32" s="3">
        <f t="shared" si="11"/>
        <v>0.000127497971411864</v>
      </c>
      <c r="O32" s="17">
        <f t="shared" si="3"/>
        <v>3.4990690673352347</v>
      </c>
      <c r="P32">
        <v>3.498623</v>
      </c>
      <c r="Q32">
        <f t="shared" si="7"/>
        <v>3.4980979999999997</v>
      </c>
      <c r="R32">
        <f t="shared" si="8"/>
        <v>3.499148</v>
      </c>
      <c r="S32" s="31">
        <f t="shared" si="9"/>
        <v>12.74817177514586</v>
      </c>
    </row>
    <row r="33" spans="1:19" ht="12.75">
      <c r="A33" s="1">
        <v>40339</v>
      </c>
      <c r="B33" s="2">
        <v>3.498596</v>
      </c>
      <c r="C33" s="2">
        <v>19.96</v>
      </c>
      <c r="D33" s="23">
        <f aca="true" t="shared" si="13" ref="D33:D42">(1+(C33-20)*0.00043)*B33</f>
        <v>3.4985358241488</v>
      </c>
      <c r="E33" s="9">
        <f aca="true" t="shared" si="14" ref="E33:E42">-(D33-3.498623)/3.1*1000000</f>
        <v>28.121242322578794</v>
      </c>
      <c r="F33" s="25">
        <v>248.584</v>
      </c>
      <c r="G33" s="2">
        <v>248.609</v>
      </c>
      <c r="H33" s="7">
        <f aca="true" t="shared" si="15" ref="H33:H42">(F33+G33)/2</f>
        <v>248.5965</v>
      </c>
      <c r="I33" s="7">
        <f aca="true" t="shared" si="16" ref="I33:I42">H33-E33/1000</f>
        <v>248.5683787576774</v>
      </c>
      <c r="J33" s="9">
        <f>(I33-M5)*1000</f>
        <v>-5.732298698546856</v>
      </c>
      <c r="K33" s="10">
        <f aca="true" t="shared" si="17" ref="K33:K42">(3.498623+J33*3.1/1000000)</f>
        <v>3.4986052298740344</v>
      </c>
      <c r="L33" s="3">
        <f>(K33-3.498623)/3.498623</f>
        <v>-5.07917714065714E-06</v>
      </c>
      <c r="O33" s="17">
        <f t="shared" si="3"/>
        <v>3.4986052298740344</v>
      </c>
      <c r="P33">
        <v>3.498623</v>
      </c>
      <c r="Q33">
        <f t="shared" si="7"/>
        <v>3.4980979999999997</v>
      </c>
      <c r="R33">
        <f t="shared" si="8"/>
        <v>3.499148</v>
      </c>
      <c r="S33" s="31">
        <f t="shared" si="9"/>
        <v>-0.50792029388286</v>
      </c>
    </row>
    <row r="34" spans="1:19" ht="12.75">
      <c r="A34" s="1">
        <v>40431</v>
      </c>
      <c r="B34" s="2">
        <v>3.498627</v>
      </c>
      <c r="C34" s="2">
        <v>20.04</v>
      </c>
      <c r="D34" s="2">
        <f t="shared" si="13"/>
        <v>3.4986871763844003</v>
      </c>
      <c r="E34" s="9">
        <f t="shared" si="14"/>
        <v>-20.702059484026705</v>
      </c>
      <c r="F34" s="8">
        <v>248.536</v>
      </c>
      <c r="G34" s="2">
        <v>248.581</v>
      </c>
      <c r="H34" s="7">
        <f t="shared" si="15"/>
        <v>248.55849999999998</v>
      </c>
      <c r="I34" s="7">
        <f t="shared" si="16"/>
        <v>248.579202059484</v>
      </c>
      <c r="J34" s="9">
        <f>(I34-M5)*1000</f>
        <v>5.091003108049108</v>
      </c>
      <c r="K34" s="10">
        <f t="shared" si="17"/>
        <v>3.498638782109635</v>
      </c>
      <c r="L34" s="3">
        <f>(K34-3.498623)/3.498623</f>
        <v>4.510948917661043E-06</v>
      </c>
      <c r="O34" s="17">
        <f t="shared" si="3"/>
        <v>3.498638782109635</v>
      </c>
      <c r="P34">
        <v>3.498623</v>
      </c>
      <c r="Q34">
        <f t="shared" si="7"/>
        <v>3.4980979999999997</v>
      </c>
      <c r="R34">
        <f t="shared" si="8"/>
        <v>3.499148</v>
      </c>
      <c r="S34" s="31">
        <f t="shared" si="9"/>
        <v>0.45109285690926965</v>
      </c>
    </row>
    <row r="35" spans="1:19" ht="12.75">
      <c r="A35" s="1">
        <v>40554</v>
      </c>
      <c r="B35" s="2">
        <v>3.498647</v>
      </c>
      <c r="C35" s="2">
        <v>19.98</v>
      </c>
      <c r="D35" s="2">
        <f t="shared" si="13"/>
        <v>3.4986169116358</v>
      </c>
      <c r="E35" s="9">
        <f t="shared" si="14"/>
        <v>1.9639884515831156</v>
      </c>
      <c r="F35" s="8">
        <v>248.458</v>
      </c>
      <c r="G35" s="2">
        <v>248.501</v>
      </c>
      <c r="H35" s="7">
        <f t="shared" si="15"/>
        <v>248.4795</v>
      </c>
      <c r="I35" s="7">
        <f t="shared" si="16"/>
        <v>248.4775360115484</v>
      </c>
      <c r="J35" s="9">
        <f>(I35-M5)*1000</f>
        <v>-96.57504482754575</v>
      </c>
      <c r="K35" s="10">
        <f>(3.498623+J35*3.1/1000000)</f>
        <v>3.4983236173610344</v>
      </c>
      <c r="L35" s="3">
        <f>(K35-3.498623)/3.498623</f>
        <v>-8.557156314511475E-05</v>
      </c>
      <c r="O35" s="17">
        <f>K35</f>
        <v>3.4983236173610344</v>
      </c>
      <c r="P35">
        <v>3.498623</v>
      </c>
      <c r="Q35">
        <f t="shared" si="7"/>
        <v>3.4980979999999997</v>
      </c>
      <c r="R35">
        <f t="shared" si="8"/>
        <v>3.499148</v>
      </c>
      <c r="S35" s="31">
        <f t="shared" si="9"/>
        <v>-8.55788862641846</v>
      </c>
    </row>
    <row r="36" spans="1:21" ht="12.75">
      <c r="A36" s="1">
        <v>40613</v>
      </c>
      <c r="B36" s="2">
        <v>3.49862</v>
      </c>
      <c r="C36" s="2">
        <v>19.96</v>
      </c>
      <c r="D36" s="2">
        <f t="shared" si="13"/>
        <v>3.4985598237359996</v>
      </c>
      <c r="E36" s="9">
        <f t="shared" si="14"/>
        <v>20.379440000067323</v>
      </c>
      <c r="F36" s="8">
        <v>248.165</v>
      </c>
      <c r="G36" s="2">
        <v>248.211</v>
      </c>
      <c r="H36" s="7">
        <f t="shared" si="15"/>
        <v>248.188</v>
      </c>
      <c r="I36" s="7">
        <f t="shared" si="16"/>
        <v>248.16762055999993</v>
      </c>
      <c r="J36" s="9">
        <f>(I36-M5)*1000</f>
        <v>-406.49049637602275</v>
      </c>
      <c r="K36" s="10">
        <f t="shared" si="17"/>
        <v>3.4973628794612344</v>
      </c>
      <c r="L36" s="3">
        <f>(K36-$K$59)/$K$59</f>
        <v>0.00010288108142255612</v>
      </c>
      <c r="M36" t="s">
        <v>30</v>
      </c>
      <c r="O36" s="17">
        <f aca="true" t="shared" si="18" ref="O36:O47">K36+0.00155</f>
        <v>3.4989128794612343</v>
      </c>
      <c r="P36">
        <v>3.498623</v>
      </c>
      <c r="Q36">
        <f t="shared" si="7"/>
        <v>3.4980979999999997</v>
      </c>
      <c r="R36">
        <f t="shared" si="8"/>
        <v>3.499148</v>
      </c>
      <c r="S36" s="31">
        <f t="shared" si="9"/>
        <v>8.284843642037861</v>
      </c>
      <c r="U36">
        <v>3.497114</v>
      </c>
    </row>
    <row r="37" spans="1:21" ht="12.75">
      <c r="A37" s="1">
        <v>40644</v>
      </c>
      <c r="B37" s="2">
        <v>3.498622</v>
      </c>
      <c r="C37" s="2">
        <v>19.94</v>
      </c>
      <c r="D37" s="2">
        <f t="shared" si="13"/>
        <v>3.4985317355524</v>
      </c>
      <c r="E37" s="9">
        <f t="shared" si="14"/>
        <v>29.440144386986887</v>
      </c>
      <c r="F37" s="8">
        <v>248.03</v>
      </c>
      <c r="G37" s="2">
        <v>248.082</v>
      </c>
      <c r="H37" s="7">
        <f t="shared" si="15"/>
        <v>248.05599999999998</v>
      </c>
      <c r="I37" s="7">
        <f t="shared" si="16"/>
        <v>248.026559855613</v>
      </c>
      <c r="J37" s="9">
        <f>(I37-M5)*1000</f>
        <v>-547.5512007629675</v>
      </c>
      <c r="K37" s="10">
        <f t="shared" si="17"/>
        <v>3.4969255912776345</v>
      </c>
      <c r="L37" s="3">
        <f aca="true" t="shared" si="19" ref="L37:L57">(K37-$K$59)/$K$59</f>
        <v>-2.216547146717033E-05</v>
      </c>
      <c r="O37" s="17">
        <f t="shared" si="18"/>
        <v>3.4984755912776344</v>
      </c>
      <c r="P37">
        <v>3.498623</v>
      </c>
      <c r="Q37">
        <f t="shared" si="7"/>
        <v>3.4980979999999997</v>
      </c>
      <c r="R37">
        <f t="shared" si="8"/>
        <v>3.499148</v>
      </c>
      <c r="S37" s="31">
        <f t="shared" si="9"/>
        <v>-4.213512957841503</v>
      </c>
      <c r="U37">
        <v>3.497114</v>
      </c>
    </row>
    <row r="38" spans="1:21" ht="12.75">
      <c r="A38" s="1">
        <v>40674</v>
      </c>
      <c r="B38" s="2">
        <v>3.498602</v>
      </c>
      <c r="C38" s="2">
        <v>19.99</v>
      </c>
      <c r="D38" s="2">
        <f t="shared" si="13"/>
        <v>3.4985869560114002</v>
      </c>
      <c r="E38" s="9">
        <f t="shared" si="14"/>
        <v>11.627093096637642</v>
      </c>
      <c r="F38" s="8">
        <v>248.069</v>
      </c>
      <c r="G38" s="2">
        <v>248.117</v>
      </c>
      <c r="H38" s="7">
        <f t="shared" si="15"/>
        <v>248.093</v>
      </c>
      <c r="I38" s="7">
        <f t="shared" si="16"/>
        <v>248.08137290690334</v>
      </c>
      <c r="J38" s="9">
        <f>(I38-M5)*1000</f>
        <v>-492.73814947261485</v>
      </c>
      <c r="K38" s="10">
        <f t="shared" si="17"/>
        <v>3.4970955117366347</v>
      </c>
      <c r="L38" s="3">
        <f t="shared" si="19"/>
        <v>2.642483684735417E-05</v>
      </c>
      <c r="O38" s="17">
        <f t="shared" si="18"/>
        <v>3.4986455117366346</v>
      </c>
      <c r="P38">
        <v>3.498623</v>
      </c>
      <c r="Q38">
        <f t="shared" si="7"/>
        <v>3.4980979999999997</v>
      </c>
      <c r="R38">
        <f t="shared" si="8"/>
        <v>3.499148</v>
      </c>
      <c r="S38" s="31">
        <f t="shared" si="9"/>
        <v>0.6434414849773481</v>
      </c>
      <c r="U38">
        <v>3.497114</v>
      </c>
    </row>
    <row r="39" spans="1:21" ht="12.75">
      <c r="A39" s="1">
        <v>40735</v>
      </c>
      <c r="B39" s="2">
        <v>3.498659</v>
      </c>
      <c r="C39" s="2">
        <v>19.98</v>
      </c>
      <c r="D39" s="2">
        <f t="shared" si="13"/>
        <v>3.4986289115325997</v>
      </c>
      <c r="E39" s="9">
        <f t="shared" si="14"/>
        <v>-1.9069459999607097</v>
      </c>
      <c r="F39" s="8">
        <v>248.026</v>
      </c>
      <c r="G39" s="8">
        <v>248.093</v>
      </c>
      <c r="H39" s="7">
        <f t="shared" si="15"/>
        <v>248.0595</v>
      </c>
      <c r="I39" s="7">
        <f t="shared" si="16"/>
        <v>248.06140694599998</v>
      </c>
      <c r="J39" s="9">
        <f>(I39-M5)*1000</f>
        <v>-512.704110375978</v>
      </c>
      <c r="K39" s="10">
        <f t="shared" si="17"/>
        <v>3.4970336172578342</v>
      </c>
      <c r="L39" s="3">
        <f t="shared" si="19"/>
        <v>8.72554492231968E-06</v>
      </c>
      <c r="O39" s="17">
        <f t="shared" si="18"/>
        <v>3.498583617257834</v>
      </c>
      <c r="P39">
        <v>3.498623</v>
      </c>
      <c r="Q39">
        <f t="shared" si="7"/>
        <v>3.4980979999999997</v>
      </c>
      <c r="R39">
        <f t="shared" si="8"/>
        <v>3.499148</v>
      </c>
      <c r="S39" s="31">
        <f t="shared" si="9"/>
        <v>-1.1256767444794387</v>
      </c>
      <c r="U39">
        <v>3.497114</v>
      </c>
    </row>
    <row r="40" spans="1:21" ht="12.75">
      <c r="A40" s="1">
        <v>40827</v>
      </c>
      <c r="B40" s="2">
        <v>3.498635</v>
      </c>
      <c r="C40" s="2">
        <v>19.99</v>
      </c>
      <c r="D40" s="2">
        <f t="shared" si="13"/>
        <v>3.4986199558695</v>
      </c>
      <c r="E40" s="9">
        <f t="shared" si="14"/>
        <v>0.9819775805400726</v>
      </c>
      <c r="F40" s="8">
        <v>248.115</v>
      </c>
      <c r="G40" s="8">
        <v>248.163</v>
      </c>
      <c r="H40" s="7">
        <f t="shared" si="15"/>
        <v>248.139</v>
      </c>
      <c r="I40" s="7">
        <f t="shared" si="16"/>
        <v>248.13801802241946</v>
      </c>
      <c r="J40" s="9">
        <f>(I40-M5)*1000</f>
        <v>-436.0930339564959</v>
      </c>
      <c r="K40" s="10">
        <f t="shared" si="17"/>
        <v>3.497271111594735</v>
      </c>
      <c r="L40" s="3">
        <f t="shared" si="19"/>
        <v>7.663922124388268E-05</v>
      </c>
      <c r="O40" s="17">
        <f t="shared" si="18"/>
        <v>3.4988211115947347</v>
      </c>
      <c r="P40">
        <v>3.498623</v>
      </c>
      <c r="Q40">
        <f t="shared" si="7"/>
        <v>3.4980979999999997</v>
      </c>
      <c r="R40">
        <f t="shared" si="8"/>
        <v>3.499148</v>
      </c>
      <c r="S40" s="31">
        <f t="shared" si="9"/>
        <v>5.662238463075671</v>
      </c>
      <c r="U40">
        <v>3.497114</v>
      </c>
    </row>
    <row r="41" spans="1:21" ht="12.75">
      <c r="A41" s="1">
        <v>40920</v>
      </c>
      <c r="B41" s="2">
        <v>3.498598</v>
      </c>
      <c r="C41" s="2">
        <v>19.91</v>
      </c>
      <c r="D41" s="2">
        <f t="shared" si="13"/>
        <v>3.4984626042574</v>
      </c>
      <c r="E41" s="9">
        <f t="shared" si="14"/>
        <v>51.74056212894817</v>
      </c>
      <c r="F41" s="8">
        <v>248.134</v>
      </c>
      <c r="G41" s="8">
        <v>248.203</v>
      </c>
      <c r="H41" s="7">
        <f t="shared" si="15"/>
        <v>248.1685</v>
      </c>
      <c r="I41" s="7">
        <f t="shared" si="16"/>
        <v>248.11675943787105</v>
      </c>
      <c r="J41" s="9">
        <f>(I41-M5)*1000</f>
        <v>-457.3516185049016</v>
      </c>
      <c r="K41" s="10">
        <f t="shared" si="17"/>
        <v>3.4972052099826345</v>
      </c>
      <c r="L41" s="3">
        <f t="shared" si="19"/>
        <v>5.779405292678551E-05</v>
      </c>
      <c r="O41" s="17">
        <f t="shared" si="18"/>
        <v>3.4987552099826345</v>
      </c>
      <c r="P41">
        <v>3.498623</v>
      </c>
      <c r="Q41">
        <f t="shared" si="7"/>
        <v>3.4980979999999997</v>
      </c>
      <c r="R41">
        <f t="shared" si="8"/>
        <v>3.499148</v>
      </c>
      <c r="S41" s="31">
        <f t="shared" si="9"/>
        <v>3.77877201175474</v>
      </c>
      <c r="U41">
        <v>3.497114</v>
      </c>
    </row>
    <row r="42" spans="1:21" ht="12.75">
      <c r="A42" s="1">
        <v>41133</v>
      </c>
      <c r="B42" s="2">
        <v>3.498629</v>
      </c>
      <c r="C42" s="2">
        <v>20.04</v>
      </c>
      <c r="D42" s="2">
        <f t="shared" si="13"/>
        <v>3.4986891764188</v>
      </c>
      <c r="E42" s="9">
        <f t="shared" si="14"/>
        <v>-21.347231871082784</v>
      </c>
      <c r="F42" s="8">
        <v>247.991</v>
      </c>
      <c r="G42" s="8">
        <v>248.059</v>
      </c>
      <c r="H42" s="7">
        <f t="shared" si="15"/>
        <v>248.025</v>
      </c>
      <c r="I42" s="7">
        <f t="shared" si="16"/>
        <v>248.0463472318711</v>
      </c>
      <c r="J42" s="9">
        <f>(I42-M5)*1000</f>
        <v>-527.7638245048593</v>
      </c>
      <c r="K42" s="10">
        <f t="shared" si="17"/>
        <v>3.4969869321440346</v>
      </c>
      <c r="L42" s="3">
        <f t="shared" si="19"/>
        <v>-4.6244900680068715E-06</v>
      </c>
      <c r="O42" s="17">
        <f t="shared" si="18"/>
        <v>3.4985369321440345</v>
      </c>
      <c r="P42">
        <v>3.498623</v>
      </c>
      <c r="Q42">
        <f t="shared" si="7"/>
        <v>3.4980979999999997</v>
      </c>
      <c r="R42">
        <f t="shared" si="8"/>
        <v>3.499148</v>
      </c>
      <c r="S42" s="31">
        <f t="shared" si="9"/>
        <v>-2.460109972672949</v>
      </c>
      <c r="U42">
        <v>3.497114</v>
      </c>
    </row>
    <row r="43" spans="1:21" ht="12.75">
      <c r="A43" s="1">
        <v>41287</v>
      </c>
      <c r="B43" s="2">
        <v>3.498627</v>
      </c>
      <c r="C43" s="2">
        <v>19.95</v>
      </c>
      <c r="D43" s="2">
        <f aca="true" t="shared" si="20" ref="D43:D50">(1+(C43-20)*0.00043)*B43</f>
        <v>3.4985517795195</v>
      </c>
      <c r="E43" s="9">
        <f aca="true" t="shared" si="21" ref="E43:E57">-(D43-3.498623)/3.1*1000000</f>
        <v>22.974348548319217</v>
      </c>
      <c r="F43" s="8">
        <v>248.023</v>
      </c>
      <c r="G43" s="8">
        <v>248.083</v>
      </c>
      <c r="H43" s="7">
        <f aca="true" t="shared" si="22" ref="H43:H49">(F43+G43)/2</f>
        <v>248.053</v>
      </c>
      <c r="I43" s="7">
        <f aca="true" t="shared" si="23" ref="I43:I51">H43-E43/1000</f>
        <v>248.03002565145167</v>
      </c>
      <c r="J43" s="9">
        <f>(I43-M5)*1000</f>
        <v>-544.0854049242887</v>
      </c>
      <c r="K43" s="10">
        <f aca="true" t="shared" si="24" ref="K43:K51">(3.498623+J43*3.1/1000000)</f>
        <v>3.4969363352447345</v>
      </c>
      <c r="L43" s="3">
        <f t="shared" si="19"/>
        <v>-1.9093135875674544E-05</v>
      </c>
      <c r="O43" s="17">
        <f t="shared" si="18"/>
        <v>3.4984863352447344</v>
      </c>
      <c r="P43">
        <v>3.498623</v>
      </c>
      <c r="Q43">
        <f t="shared" si="7"/>
        <v>3.4980979999999997</v>
      </c>
      <c r="R43">
        <f t="shared" si="8"/>
        <v>3.499148</v>
      </c>
      <c r="S43" s="31">
        <f t="shared" si="9"/>
        <v>-3.906396714733889</v>
      </c>
      <c r="U43">
        <v>3.497114</v>
      </c>
    </row>
    <row r="44" spans="1:21" ht="12.75">
      <c r="A44" s="1">
        <v>41346</v>
      </c>
      <c r="B44" s="2">
        <v>3.498633</v>
      </c>
      <c r="C44" s="2">
        <v>19.91</v>
      </c>
      <c r="D44" s="2">
        <f t="shared" si="20"/>
        <v>3.4984976029029</v>
      </c>
      <c r="E44" s="9">
        <f t="shared" si="21"/>
        <v>40.45067648380636</v>
      </c>
      <c r="F44" s="8">
        <v>248.155</v>
      </c>
      <c r="G44" s="8">
        <v>248.217</v>
      </c>
      <c r="H44" s="7">
        <f t="shared" si="22"/>
        <v>248.186</v>
      </c>
      <c r="I44" s="7">
        <f t="shared" si="23"/>
        <v>248.1455493235162</v>
      </c>
      <c r="J44" s="9">
        <f>(I44-M5)*1000</f>
        <v>-428.5617328597482</v>
      </c>
      <c r="K44" s="10">
        <f t="shared" si="24"/>
        <v>3.4972944586281347</v>
      </c>
      <c r="L44" s="3">
        <f t="shared" si="19"/>
        <v>8.331551883515294E-05</v>
      </c>
      <c r="O44" s="17">
        <f t="shared" si="18"/>
        <v>3.4988444586281346</v>
      </c>
      <c r="P44">
        <v>3.498623</v>
      </c>
      <c r="Q44">
        <f t="shared" si="7"/>
        <v>3.4980979999999997</v>
      </c>
      <c r="R44">
        <f t="shared" si="8"/>
        <v>3.499148</v>
      </c>
      <c r="S44" s="31">
        <f aca="true" t="shared" si="25" ref="S44:S50">(O44-P44)*100000/O44</f>
        <v>6.329479082407155</v>
      </c>
      <c r="U44">
        <v>3.497114</v>
      </c>
    </row>
    <row r="45" spans="1:21" ht="12.75">
      <c r="A45" s="1">
        <v>41407</v>
      </c>
      <c r="B45" s="2">
        <v>3.497716</v>
      </c>
      <c r="C45" s="2">
        <v>19.94</v>
      </c>
      <c r="D45" s="2">
        <f t="shared" si="20"/>
        <v>3.4976257589272</v>
      </c>
      <c r="E45" s="9">
        <f t="shared" si="21"/>
        <v>321.6906686451159</v>
      </c>
      <c r="F45" s="8">
        <v>248.355</v>
      </c>
      <c r="G45" s="8">
        <v>248.403</v>
      </c>
      <c r="H45" s="7">
        <f t="shared" si="22"/>
        <v>248.379</v>
      </c>
      <c r="I45" s="7">
        <f t="shared" si="23"/>
        <v>248.05730933135487</v>
      </c>
      <c r="J45" s="9">
        <f>(I45-M5)*1000</f>
        <v>-516.8017250210823</v>
      </c>
      <c r="K45" s="10">
        <f t="shared" si="24"/>
        <v>3.4970209146524343</v>
      </c>
      <c r="L45" s="3">
        <f t="shared" si="19"/>
        <v>5.093118807097421E-06</v>
      </c>
      <c r="O45" s="17">
        <f t="shared" si="18"/>
        <v>3.498570914652434</v>
      </c>
      <c r="P45">
        <v>3.498623</v>
      </c>
      <c r="Q45">
        <f t="shared" si="7"/>
        <v>3.4980979999999997</v>
      </c>
      <c r="R45">
        <f t="shared" si="8"/>
        <v>3.499148</v>
      </c>
      <c r="S45" s="31">
        <f t="shared" si="25"/>
        <v>-1.4887606636036093</v>
      </c>
      <c r="U45">
        <v>3.497114</v>
      </c>
    </row>
    <row r="46" spans="1:21" ht="12.75">
      <c r="A46" s="1">
        <v>41499</v>
      </c>
      <c r="B46" s="2">
        <v>3.497628</v>
      </c>
      <c r="C46" s="2">
        <v>19.96</v>
      </c>
      <c r="D46" s="2">
        <f t="shared" si="20"/>
        <v>3.4975678407984</v>
      </c>
      <c r="E46" s="9">
        <f t="shared" si="21"/>
        <v>340.3739359999778</v>
      </c>
      <c r="F46" s="8">
        <v>248.349</v>
      </c>
      <c r="G46" s="8">
        <v>248.421</v>
      </c>
      <c r="H46" s="7">
        <f t="shared" si="22"/>
        <v>248.385</v>
      </c>
      <c r="I46" s="7">
        <f t="shared" si="23"/>
        <v>248.044626064</v>
      </c>
      <c r="J46" s="9">
        <f>(I46-M5)*1000</f>
        <v>-529.4849923759557</v>
      </c>
      <c r="K46" s="10">
        <f t="shared" si="24"/>
        <v>3.4969815965236344</v>
      </c>
      <c r="L46" s="3">
        <f t="shared" si="19"/>
        <v>-6.150259488705288E-06</v>
      </c>
      <c r="O46" s="17">
        <f t="shared" si="18"/>
        <v>3.4985315965236343</v>
      </c>
      <c r="P46">
        <v>3.498623</v>
      </c>
      <c r="Q46">
        <f t="shared" si="7"/>
        <v>3.4980979999999997</v>
      </c>
      <c r="R46">
        <f t="shared" si="8"/>
        <v>3.499148</v>
      </c>
      <c r="S46" s="31">
        <f t="shared" si="25"/>
        <v>-2.6126240064922346</v>
      </c>
      <c r="U46">
        <v>3.497114</v>
      </c>
    </row>
    <row r="47" spans="1:21" ht="12.75">
      <c r="A47" s="1">
        <v>41560</v>
      </c>
      <c r="B47" s="2">
        <v>3.497812</v>
      </c>
      <c r="C47" s="2">
        <v>19.93</v>
      </c>
      <c r="D47" s="2">
        <f t="shared" si="20"/>
        <v>3.4977067158588</v>
      </c>
      <c r="E47" s="9">
        <f t="shared" si="21"/>
        <v>295.57552941922484</v>
      </c>
      <c r="F47" s="8">
        <v>248.354</v>
      </c>
      <c r="G47" s="8">
        <v>248.418</v>
      </c>
      <c r="H47" s="7">
        <f t="shared" si="22"/>
        <v>248.38600000000002</v>
      </c>
      <c r="I47" s="7">
        <f t="shared" si="23"/>
        <v>248.09042447058079</v>
      </c>
      <c r="J47" s="9">
        <f>(I47-M5)*1000</f>
        <v>-483.6865857951693</v>
      </c>
      <c r="K47" s="10">
        <f t="shared" si="24"/>
        <v>3.497123571584035</v>
      </c>
      <c r="L47" s="3">
        <f t="shared" si="19"/>
        <v>3.444880667688867E-05</v>
      </c>
      <c r="O47" s="17">
        <f t="shared" si="18"/>
        <v>3.498673571584035</v>
      </c>
      <c r="P47">
        <v>3.498623</v>
      </c>
      <c r="Q47">
        <f t="shared" si="7"/>
        <v>3.4980979999999997</v>
      </c>
      <c r="R47">
        <f t="shared" si="8"/>
        <v>3.499148</v>
      </c>
      <c r="S47" s="31">
        <f t="shared" si="25"/>
        <v>1.4454501970642801</v>
      </c>
      <c r="U47">
        <v>3.497114</v>
      </c>
    </row>
    <row r="48" spans="1:21" ht="12.75">
      <c r="A48" s="1">
        <v>41653</v>
      </c>
      <c r="B48" s="2">
        <v>3.498135</v>
      </c>
      <c r="C48" s="2">
        <v>19.87</v>
      </c>
      <c r="D48" s="2">
        <f t="shared" si="20"/>
        <v>3.4979394542535</v>
      </c>
      <c r="E48" s="9">
        <f t="shared" si="21"/>
        <v>220.49862790321953</v>
      </c>
      <c r="F48" s="8">
        <v>248.352</v>
      </c>
      <c r="G48" s="8">
        <v>248.389</v>
      </c>
      <c r="H48" s="7">
        <f t="shared" si="22"/>
        <v>248.3705</v>
      </c>
      <c r="I48" s="7">
        <f t="shared" si="23"/>
        <v>248.15000137209677</v>
      </c>
      <c r="J48" s="9">
        <f>(I48-M5)*1000</f>
        <v>-424.1096842791876</v>
      </c>
      <c r="K48" s="10">
        <f t="shared" si="24"/>
        <v>3.4973082599787344</v>
      </c>
      <c r="L48" s="3">
        <f t="shared" si="19"/>
        <v>8.726214118270212E-05</v>
      </c>
      <c r="O48" s="17">
        <f aca="true" t="shared" si="26" ref="O48:O54">K48+0.00155</f>
        <v>3.4988582599787343</v>
      </c>
      <c r="P48">
        <v>3.498623</v>
      </c>
      <c r="Q48">
        <f aca="true" t="shared" si="27" ref="Q48:Q54">P48-0.000525</f>
        <v>3.4980979999999997</v>
      </c>
      <c r="R48">
        <f aca="true" t="shared" si="28" ref="R48:R54">P48+0.000525</f>
        <v>3.499148</v>
      </c>
      <c r="S48" s="31">
        <f t="shared" si="25"/>
        <v>6.72390709350871</v>
      </c>
      <c r="U48">
        <v>3.497114</v>
      </c>
    </row>
    <row r="49" spans="1:21" ht="12.75">
      <c r="A49" s="1">
        <v>41712</v>
      </c>
      <c r="B49" s="2">
        <v>3.498239</v>
      </c>
      <c r="C49" s="2">
        <v>19.94</v>
      </c>
      <c r="D49" s="2">
        <f t="shared" si="20"/>
        <v>3.4981487454338</v>
      </c>
      <c r="E49" s="9">
        <f t="shared" si="21"/>
        <v>152.98534393540677</v>
      </c>
      <c r="F49" s="8">
        <v>248.358</v>
      </c>
      <c r="G49" s="8">
        <v>248.375</v>
      </c>
      <c r="H49" s="7">
        <f t="shared" si="22"/>
        <v>248.3665</v>
      </c>
      <c r="I49" s="7">
        <f t="shared" si="23"/>
        <v>248.2135146560646</v>
      </c>
      <c r="J49" s="9">
        <f>(I49-M5)*1000</f>
        <v>-360.5964003113513</v>
      </c>
      <c r="K49" s="10">
        <f t="shared" si="24"/>
        <v>3.4975051511590345</v>
      </c>
      <c r="L49" s="3">
        <f t="shared" si="19"/>
        <v>0.0001435649737637956</v>
      </c>
      <c r="O49" s="17">
        <f t="shared" si="26"/>
        <v>3.4990551511590344</v>
      </c>
      <c r="P49">
        <v>3.498623</v>
      </c>
      <c r="Q49">
        <f t="shared" si="27"/>
        <v>3.4980979999999997</v>
      </c>
      <c r="R49">
        <f t="shared" si="28"/>
        <v>3.499148</v>
      </c>
      <c r="S49" s="31">
        <f t="shared" si="25"/>
        <v>12.350510076740685</v>
      </c>
      <c r="U49">
        <v>3.497114</v>
      </c>
    </row>
    <row r="50" spans="1:21" ht="12.75">
      <c r="A50" s="1">
        <v>41926</v>
      </c>
      <c r="B50" s="2">
        <v>3.498624</v>
      </c>
      <c r="C50" s="2">
        <v>19.96</v>
      </c>
      <c r="D50" s="2">
        <f t="shared" si="20"/>
        <v>3.4985638236671996</v>
      </c>
      <c r="E50" s="9">
        <f t="shared" si="21"/>
        <v>19.089139612958203</v>
      </c>
      <c r="F50" s="8">
        <v>248.065</v>
      </c>
      <c r="G50" s="8">
        <v>248.102</v>
      </c>
      <c r="H50" s="7">
        <f aca="true" t="shared" si="29" ref="H50:H57">(F50+G50)/2</f>
        <v>248.08350000000002</v>
      </c>
      <c r="I50" s="7">
        <f t="shared" si="23"/>
        <v>248.06441086038706</v>
      </c>
      <c r="J50" s="9">
        <f>(I50-M5)*1000</f>
        <v>-509.7001959888985</v>
      </c>
      <c r="K50" s="10">
        <f t="shared" si="24"/>
        <v>3.497042929392434</v>
      </c>
      <c r="L50" s="3">
        <f t="shared" si="19"/>
        <v>1.1388434923537685E-05</v>
      </c>
      <c r="O50" s="17">
        <f t="shared" si="26"/>
        <v>3.498592929392434</v>
      </c>
      <c r="P50">
        <v>3.498623</v>
      </c>
      <c r="Q50">
        <f t="shared" si="27"/>
        <v>3.4980979999999997</v>
      </c>
      <c r="R50">
        <f t="shared" si="28"/>
        <v>3.499148</v>
      </c>
      <c r="S50" s="31">
        <f t="shared" si="25"/>
        <v>-0.8595057548175715</v>
      </c>
      <c r="U50">
        <v>3.497114</v>
      </c>
    </row>
    <row r="51" spans="1:21" ht="12.75">
      <c r="A51" s="1">
        <v>42109</v>
      </c>
      <c r="B51" s="2">
        <v>3.498532</v>
      </c>
      <c r="C51" s="2">
        <v>20.06</v>
      </c>
      <c r="D51" s="2">
        <f aca="true" t="shared" si="30" ref="D51:D57">(1+(C51-20)*0.00043)*B51</f>
        <v>3.4986222621256</v>
      </c>
      <c r="E51" s="9">
        <f t="shared" si="21"/>
        <v>0.23802399993652185</v>
      </c>
      <c r="F51" s="8">
        <v>247.898</v>
      </c>
      <c r="G51" s="8">
        <v>247.939</v>
      </c>
      <c r="H51" s="7">
        <f t="shared" si="29"/>
        <v>247.9185</v>
      </c>
      <c r="I51" s="7">
        <f t="shared" si="23"/>
        <v>247.91826197600005</v>
      </c>
      <c r="J51" s="9">
        <f>(I51-M5)*1000</f>
        <v>-655.8490803759014</v>
      </c>
      <c r="K51" s="10">
        <f t="shared" si="24"/>
        <v>3.4965898678508345</v>
      </c>
      <c r="L51" s="3">
        <f t="shared" si="19"/>
        <v>-0.00011816865385381633</v>
      </c>
      <c r="O51" s="17">
        <f t="shared" si="26"/>
        <v>3.4981398678508344</v>
      </c>
      <c r="P51">
        <v>3.498623</v>
      </c>
      <c r="Q51">
        <f t="shared" si="27"/>
        <v>3.4980979999999997</v>
      </c>
      <c r="R51">
        <f t="shared" si="28"/>
        <v>3.499148</v>
      </c>
      <c r="S51" s="31">
        <f aca="true" t="shared" si="31" ref="S51:S56">(O51-P51)*100000/O51</f>
        <v>-13.811115833462177</v>
      </c>
      <c r="U51">
        <v>3.497114</v>
      </c>
    </row>
    <row r="52" spans="1:21" ht="12.75">
      <c r="A52" s="1">
        <v>42139</v>
      </c>
      <c r="B52" s="2">
        <v>3.498728</v>
      </c>
      <c r="C52" s="2">
        <v>20.09</v>
      </c>
      <c r="D52" s="2">
        <f t="shared" si="30"/>
        <v>3.4988634007735997</v>
      </c>
      <c r="E52" s="9">
        <f t="shared" si="21"/>
        <v>-77.54863664512268</v>
      </c>
      <c r="F52" s="8">
        <v>247.815</v>
      </c>
      <c r="G52" s="8">
        <v>247.852</v>
      </c>
      <c r="H52" s="7">
        <f t="shared" si="29"/>
        <v>247.83350000000002</v>
      </c>
      <c r="I52" s="7">
        <f>H52-E52/1000</f>
        <v>247.91104863664515</v>
      </c>
      <c r="J52" s="9">
        <f>(I52-M5)*1000</f>
        <v>-663.0624197308066</v>
      </c>
      <c r="K52" s="10">
        <f>(3.498623+J52*3.1/1000000)</f>
        <v>3.496567506498834</v>
      </c>
      <c r="L52" s="3">
        <f t="shared" si="19"/>
        <v>-0.00012456308683979505</v>
      </c>
      <c r="O52" s="17">
        <f t="shared" si="26"/>
        <v>3.498117506498834</v>
      </c>
      <c r="P52">
        <v>3.498623</v>
      </c>
      <c r="Q52">
        <f t="shared" si="27"/>
        <v>3.4980979999999997</v>
      </c>
      <c r="R52">
        <f t="shared" si="28"/>
        <v>3.499148</v>
      </c>
      <c r="S52" s="31">
        <f t="shared" si="31"/>
        <v>-14.450443709411639</v>
      </c>
      <c r="U52">
        <v>3.497114</v>
      </c>
    </row>
    <row r="53" spans="1:21" ht="12.75">
      <c r="A53" s="1">
        <v>42200</v>
      </c>
      <c r="B53" s="2">
        <v>3.498412</v>
      </c>
      <c r="C53" s="2">
        <v>20.12</v>
      </c>
      <c r="D53" s="2">
        <f t="shared" si="30"/>
        <v>3.4985925180592</v>
      </c>
      <c r="E53" s="9">
        <f t="shared" si="21"/>
        <v>9.832884129002924</v>
      </c>
      <c r="F53" s="8">
        <v>247.937</v>
      </c>
      <c r="G53" s="8">
        <v>247.973</v>
      </c>
      <c r="H53" s="7">
        <f t="shared" si="29"/>
        <v>247.955</v>
      </c>
      <c r="I53" s="7">
        <f>H53-E53/1000</f>
        <v>247.94516711587102</v>
      </c>
      <c r="J53" s="9">
        <f>(I53-M5)*1000</f>
        <v>-628.9439405049393</v>
      </c>
      <c r="K53" s="10">
        <f>(3.498623+J53*3.1/1000000)</f>
        <v>3.4966732737844346</v>
      </c>
      <c r="L53" s="3">
        <f t="shared" si="19"/>
        <v>-9.431796481533191E-05</v>
      </c>
      <c r="O53" s="17">
        <f t="shared" si="26"/>
        <v>3.4982232737844345</v>
      </c>
      <c r="P53">
        <v>3.498623</v>
      </c>
      <c r="Q53">
        <f t="shared" si="27"/>
        <v>3.4980979999999997</v>
      </c>
      <c r="R53">
        <f t="shared" si="28"/>
        <v>3.499148</v>
      </c>
      <c r="S53" s="31">
        <f t="shared" si="31"/>
        <v>-11.426549544759236</v>
      </c>
      <c r="U53">
        <v>3.497114</v>
      </c>
    </row>
    <row r="54" spans="1:23" ht="12.75">
      <c r="A54" s="1">
        <v>42353</v>
      </c>
      <c r="B54" s="2">
        <v>3.498583</v>
      </c>
      <c r="C54" s="2">
        <v>19.97</v>
      </c>
      <c r="D54" s="2">
        <f t="shared" si="30"/>
        <v>3.4985378682793002</v>
      </c>
      <c r="E54" s="9">
        <f t="shared" si="21"/>
        <v>27.461845386958593</v>
      </c>
      <c r="F54" s="8">
        <v>248.152</v>
      </c>
      <c r="G54" s="8">
        <v>248.201</v>
      </c>
      <c r="H54" s="7">
        <f t="shared" si="29"/>
        <v>248.17649999999998</v>
      </c>
      <c r="I54" s="7">
        <f>H54-E54/1000</f>
        <v>248.149038154613</v>
      </c>
      <c r="J54" s="9">
        <f>(I54-M5)*1000</f>
        <v>-425.0729017629453</v>
      </c>
      <c r="K54" s="10">
        <f>(3.498623+J54*3.1/1000000)</f>
        <v>3.4973052740045345</v>
      </c>
      <c r="L54" s="3">
        <f t="shared" si="19"/>
        <v>8.64082745686054E-05</v>
      </c>
      <c r="O54" s="17">
        <f t="shared" si="26"/>
        <v>3.4988552740045344</v>
      </c>
      <c r="P54">
        <v>3.498623</v>
      </c>
      <c r="Q54">
        <f t="shared" si="27"/>
        <v>3.4980979999999997</v>
      </c>
      <c r="R54">
        <f t="shared" si="28"/>
        <v>3.499148</v>
      </c>
      <c r="S54" s="31">
        <f t="shared" si="31"/>
        <v>6.6385713710525485</v>
      </c>
      <c r="U54">
        <v>3.497114</v>
      </c>
      <c r="W54" t="s">
        <v>33</v>
      </c>
    </row>
    <row r="55" spans="1:21" ht="12.75">
      <c r="A55" s="1">
        <v>42385</v>
      </c>
      <c r="B55" s="2">
        <v>3.498646</v>
      </c>
      <c r="C55" s="2">
        <v>19.94</v>
      </c>
      <c r="D55" s="2">
        <f t="shared" si="30"/>
        <v>3.4985557349332</v>
      </c>
      <c r="E55" s="9">
        <f t="shared" si="21"/>
        <v>21.698408645051593</v>
      </c>
      <c r="F55" s="8">
        <v>247.869</v>
      </c>
      <c r="G55" s="8">
        <v>247.936</v>
      </c>
      <c r="H55" s="7">
        <f t="shared" si="29"/>
        <v>247.9025</v>
      </c>
      <c r="I55" s="7">
        <f>H55-E55/1000</f>
        <v>247.88080159135495</v>
      </c>
      <c r="J55" s="9">
        <f>(I55-M5)*1000</f>
        <v>-693.3094650210023</v>
      </c>
      <c r="K55" s="10">
        <f>(3.498623+J55*3.1/1000000)</f>
        <v>3.4964737406584345</v>
      </c>
      <c r="L55" s="3">
        <f t="shared" si="19"/>
        <v>-0.00015137628591657172</v>
      </c>
      <c r="O55" s="17">
        <f>K55+0.00155</f>
        <v>3.4980237406584345</v>
      </c>
      <c r="P55">
        <v>3.498623</v>
      </c>
      <c r="Q55">
        <f>P55-0.000525</f>
        <v>3.4980979999999997</v>
      </c>
      <c r="R55">
        <f>P55+0.000525</f>
        <v>3.499148</v>
      </c>
      <c r="S55" s="31">
        <f t="shared" si="31"/>
        <v>-17.131368623946255</v>
      </c>
      <c r="U55">
        <v>3.497114</v>
      </c>
    </row>
    <row r="56" spans="1:23" ht="12.75">
      <c r="A56" s="1">
        <v>42385</v>
      </c>
      <c r="B56" s="2">
        <v>3.498654</v>
      </c>
      <c r="C56" s="2">
        <v>19.94</v>
      </c>
      <c r="D56" s="2">
        <f t="shared" si="30"/>
        <v>3.4985637347268</v>
      </c>
      <c r="E56" s="9">
        <f t="shared" si="21"/>
        <v>19.11783006440649</v>
      </c>
      <c r="F56" s="8">
        <v>247.858</v>
      </c>
      <c r="G56" s="8">
        <v>247.935</v>
      </c>
      <c r="H56" s="7">
        <f t="shared" si="29"/>
        <v>247.8965</v>
      </c>
      <c r="I56" s="7">
        <f>H56-E56/1000</f>
        <v>247.8773821699356</v>
      </c>
      <c r="J56" s="9">
        <f>(I56-M5)*1000</f>
        <v>-696.7288864403542</v>
      </c>
      <c r="K56" s="10">
        <f>(3.498623+J56*3.1/1000000)</f>
        <v>3.4964631404520348</v>
      </c>
      <c r="L56" s="3">
        <f t="shared" si="19"/>
        <v>-0.00015440751182187117</v>
      </c>
      <c r="O56" s="17">
        <f>K56+0.00155</f>
        <v>3.4980131404520347</v>
      </c>
      <c r="P56">
        <v>3.498623</v>
      </c>
      <c r="Q56">
        <f>P56-0.000525</f>
        <v>3.4980979999999997</v>
      </c>
      <c r="R56">
        <f>P56+0.000525</f>
        <v>3.499148</v>
      </c>
      <c r="S56" s="31">
        <f t="shared" si="31"/>
        <v>-17.43445560316844</v>
      </c>
      <c r="U56">
        <v>3.497114</v>
      </c>
      <c r="W56" t="s">
        <v>33</v>
      </c>
    </row>
    <row r="57" spans="1:21" ht="12.75">
      <c r="A57" s="1">
        <v>42385</v>
      </c>
      <c r="B57" s="2">
        <v>3.497736</v>
      </c>
      <c r="C57" s="2">
        <v>19.94</v>
      </c>
      <c r="D57" s="2">
        <f t="shared" si="30"/>
        <v>3.4976457584112004</v>
      </c>
      <c r="E57" s="9">
        <f t="shared" si="21"/>
        <v>315.23922219335986</v>
      </c>
      <c r="F57" s="8">
        <v>248.309</v>
      </c>
      <c r="G57" s="8">
        <v>248.359</v>
      </c>
      <c r="H57" s="7">
        <f t="shared" si="29"/>
        <v>248.334</v>
      </c>
      <c r="I57" s="7">
        <f>H57-E57/1000</f>
        <v>248.01876077780665</v>
      </c>
      <c r="J57" s="9">
        <f>(I57-M5)*1000</f>
        <v>-555.350278569307</v>
      </c>
      <c r="K57" s="10">
        <f>(3.498623+J57*3.1/1000000)</f>
        <v>3.496901414136435</v>
      </c>
      <c r="L57" s="3">
        <f t="shared" si="19"/>
        <v>-2.9079145970813982E-05</v>
      </c>
      <c r="O57" s="17">
        <f>K57+0.00155</f>
        <v>3.498451414136435</v>
      </c>
      <c r="P57">
        <v>3.498623</v>
      </c>
      <c r="Q57">
        <f>P57-0.000525</f>
        <v>3.4980979999999997</v>
      </c>
      <c r="R57">
        <f>P57+0.000525</f>
        <v>3.499148</v>
      </c>
      <c r="S57" s="31">
        <f>(O57-P57)*100000/O57</f>
        <v>-4.904623310512616</v>
      </c>
      <c r="U57">
        <v>3.497114</v>
      </c>
    </row>
    <row r="59" spans="11:15" ht="12.75">
      <c r="K59" s="17">
        <f>AVERAGE(K36:K57)</f>
        <v>3.497003104000157</v>
      </c>
      <c r="N59" s="28" t="s">
        <v>31</v>
      </c>
      <c r="O59" s="3">
        <f>STDEV(O9:O57)/O60</f>
        <v>6.803077117528877E-05</v>
      </c>
    </row>
    <row r="60" spans="11:15" ht="12.75">
      <c r="K60">
        <f>STDEV(K13:K34)</f>
        <v>0.00015668464282179062</v>
      </c>
      <c r="N60" s="28" t="s">
        <v>32</v>
      </c>
      <c r="O60" s="17">
        <f>AVERAGE(O9:O57)</f>
        <v>3.498566714900702</v>
      </c>
    </row>
    <row r="61" ht="12.75">
      <c r="K61" s="26">
        <v>3.497073</v>
      </c>
    </row>
    <row r="66" spans="3:9" ht="15.75">
      <c r="C66" s="12" t="s">
        <v>16</v>
      </c>
      <c r="H66" s="13" t="s">
        <v>17</v>
      </c>
      <c r="I66" s="27">
        <v>3.498623</v>
      </c>
    </row>
    <row r="67" spans="1:10" ht="12.75">
      <c r="A67" s="1" t="s">
        <v>0</v>
      </c>
      <c r="B67" t="s">
        <v>13</v>
      </c>
      <c r="C67" t="s">
        <v>14</v>
      </c>
      <c r="D67" t="s">
        <v>15</v>
      </c>
      <c r="J67"/>
    </row>
    <row r="68" spans="2:10" ht="12.75">
      <c r="B68"/>
      <c r="D68"/>
      <c r="H68" t="s">
        <v>29</v>
      </c>
      <c r="J68"/>
    </row>
    <row r="69" spans="1:10" ht="12.75">
      <c r="A69" s="18">
        <v>39224</v>
      </c>
      <c r="B69" s="19">
        <v>-0.369135</v>
      </c>
      <c r="C69" s="19">
        <v>-0.36897</v>
      </c>
      <c r="D69" s="20">
        <v>-1.65</v>
      </c>
      <c r="J69"/>
    </row>
    <row r="70" spans="1:5" ht="12.75">
      <c r="A70" s="18">
        <v>39239</v>
      </c>
      <c r="B70" s="19">
        <v>-0.369135</v>
      </c>
      <c r="C70" s="19">
        <v>-0.36897</v>
      </c>
      <c r="D70" s="20">
        <v>-1.65</v>
      </c>
      <c r="E70" t="s">
        <v>23</v>
      </c>
    </row>
    <row r="71" spans="1:10" ht="12.75">
      <c r="A71" s="18">
        <v>39286</v>
      </c>
      <c r="B71" s="19">
        <v>-0.369132</v>
      </c>
      <c r="C71" s="19">
        <v>-0.368965</v>
      </c>
      <c r="D71" s="20">
        <v>-1.67</v>
      </c>
      <c r="E71" t="s">
        <v>24</v>
      </c>
      <c r="H71" s="2"/>
      <c r="J71"/>
    </row>
    <row r="72" spans="1:10" ht="12.75">
      <c r="A72" s="18">
        <v>39352</v>
      </c>
      <c r="B72" s="19">
        <v>-0.369136</v>
      </c>
      <c r="C72" s="19">
        <v>-0.368965</v>
      </c>
      <c r="D72" s="20">
        <v>-1.71</v>
      </c>
      <c r="H72" s="2"/>
      <c r="J72"/>
    </row>
    <row r="73" spans="1:10" ht="12.75">
      <c r="A73" t="s">
        <v>28</v>
      </c>
      <c r="C73" s="1"/>
      <c r="E73" t="s">
        <v>18</v>
      </c>
      <c r="J73"/>
    </row>
    <row r="74" spans="1:10" ht="12.75">
      <c r="A74" s="15">
        <v>39393</v>
      </c>
      <c r="B74" s="17">
        <v>-0.369094</v>
      </c>
      <c r="C74" s="19">
        <v>-0.368965</v>
      </c>
      <c r="D74" s="14">
        <f>(B74-C74)*10000</f>
        <v>-1.2899999999999023</v>
      </c>
      <c r="E74" s="14"/>
      <c r="H74" s="2"/>
      <c r="J74"/>
    </row>
    <row r="75" spans="1:10" ht="12.75">
      <c r="A75" s="1">
        <v>39423</v>
      </c>
      <c r="B75" s="23">
        <v>-0.3691</v>
      </c>
      <c r="C75" s="19">
        <v>-0.368965</v>
      </c>
      <c r="D75" s="14">
        <f>(B75-C75)*10000</f>
        <v>-1.3499999999999623</v>
      </c>
      <c r="H75" s="2"/>
      <c r="J75"/>
    </row>
    <row r="76" spans="1:10" ht="12.75">
      <c r="A76" s="1">
        <v>39454</v>
      </c>
      <c r="B76" s="23">
        <v>-0.369107</v>
      </c>
      <c r="C76" s="19">
        <v>-0.368965</v>
      </c>
      <c r="D76" s="2">
        <v>-1.42</v>
      </c>
      <c r="H76" s="2"/>
      <c r="J76"/>
    </row>
    <row r="77" spans="1:10" ht="12.75">
      <c r="A77" s="1">
        <v>39486</v>
      </c>
      <c r="B77" s="2">
        <v>-0.369117</v>
      </c>
      <c r="C77" s="19">
        <v>-0.368965</v>
      </c>
      <c r="D77" s="2">
        <v>-1.47</v>
      </c>
      <c r="H77" s="2"/>
      <c r="J77"/>
    </row>
    <row r="78" spans="1:10" ht="12.75">
      <c r="A78" s="1">
        <v>39546</v>
      </c>
      <c r="B78" s="2">
        <v>-0.36908</v>
      </c>
      <c r="C78" s="19">
        <v>-0.368965</v>
      </c>
      <c r="D78" s="14">
        <f>(B78-C78)*10000</f>
        <v>-1.1500000000003174</v>
      </c>
      <c r="E78" t="s">
        <v>25</v>
      </c>
      <c r="H78" s="2"/>
      <c r="J78"/>
    </row>
    <row r="79" spans="1:10" ht="12.75">
      <c r="A79" s="1">
        <v>39637</v>
      </c>
      <c r="B79">
        <v>-0.369134</v>
      </c>
      <c r="C79" s="19">
        <v>-0.368965</v>
      </c>
      <c r="D79" s="14">
        <f>(B79-C79)*10000</f>
        <v>-1.6900000000003024</v>
      </c>
      <c r="H79" s="2"/>
      <c r="J79"/>
    </row>
    <row r="80" spans="1:10" ht="12.75">
      <c r="A80" s="1">
        <v>39668</v>
      </c>
      <c r="B80" s="17">
        <v>-0.369128</v>
      </c>
      <c r="C80" s="23">
        <v>-0.368972</v>
      </c>
      <c r="D80" s="2">
        <v>-1.56</v>
      </c>
      <c r="E80" t="s">
        <v>26</v>
      </c>
      <c r="H80" s="2"/>
      <c r="J80"/>
    </row>
    <row r="81" spans="1:10" ht="12.75">
      <c r="A81" s="1">
        <v>39729</v>
      </c>
      <c r="B81" s="17">
        <v>-0.369141</v>
      </c>
      <c r="C81" s="23">
        <v>-0.368963</v>
      </c>
      <c r="D81" s="14">
        <v>-1.7800000000001148</v>
      </c>
      <c r="E81" t="s">
        <v>27</v>
      </c>
      <c r="H81" s="2"/>
      <c r="J81"/>
    </row>
    <row r="82" spans="1:10" ht="12.75">
      <c r="A82" s="1">
        <v>39790</v>
      </c>
      <c r="H82" s="2"/>
      <c r="J82"/>
    </row>
    <row r="83" spans="8:10" ht="12.75">
      <c r="H83" s="2"/>
      <c r="J8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9.140625" style="17" customWidth="1"/>
  </cols>
  <sheetData>
    <row r="1" ht="18">
      <c r="A1" s="24" t="s">
        <v>22</v>
      </c>
    </row>
    <row r="3" spans="1:14" ht="12.75">
      <c r="A3" s="11">
        <v>39604</v>
      </c>
      <c r="B3" s="23">
        <v>3.48624</v>
      </c>
      <c r="C3" s="22">
        <v>19.98</v>
      </c>
      <c r="D3" s="2">
        <f>(1+(C3-20)*0.0005)*B3</f>
        <v>3.4862051376000003</v>
      </c>
      <c r="E3" s="9">
        <f>-(D3-3.486231)/3.1*1000000</f>
        <v>8.34270967735441</v>
      </c>
      <c r="F3" s="8">
        <v>248.342</v>
      </c>
      <c r="G3" s="8">
        <v>248.427</v>
      </c>
      <c r="H3" s="7">
        <f>(F3+G3)/2</f>
        <v>248.3845</v>
      </c>
      <c r="I3" s="7">
        <f>H3-E3/1000</f>
        <v>248.37615729032265</v>
      </c>
      <c r="J3" s="9">
        <f>(I3-N3)*1000</f>
        <v>20.047314516205006</v>
      </c>
      <c r="K3" s="10">
        <f>(3.486231+J3*3.1/1000000)</f>
        <v>3.4862931466750005</v>
      </c>
      <c r="L3" s="3">
        <f>(K3-3.486231)/3.498623</f>
        <v>1.7763181400332095E-05</v>
      </c>
      <c r="N3" s="7">
        <f>AVERAGE(I3:I4)</f>
        <v>248.35610997580645</v>
      </c>
    </row>
    <row r="4" spans="1:14" ht="12.75">
      <c r="A4" s="11">
        <v>39708</v>
      </c>
      <c r="B4" s="23">
        <v>3.48623</v>
      </c>
      <c r="C4" s="22">
        <v>19.95</v>
      </c>
      <c r="D4" s="2">
        <f>(1+(C4-20)*0.0005)*B4</f>
        <v>3.4861428442499998</v>
      </c>
      <c r="E4" s="9">
        <f>-(D4-3.486231)/3.1*1000000</f>
        <v>28.43733870978009</v>
      </c>
      <c r="F4" s="8">
        <v>248.324</v>
      </c>
      <c r="G4" s="8">
        <v>248.405</v>
      </c>
      <c r="H4" s="7">
        <f>(F4+G4)/2</f>
        <v>248.36450000000002</v>
      </c>
      <c r="I4" s="7">
        <f>H4-E4/1000</f>
        <v>248.33606266129024</v>
      </c>
      <c r="J4" s="9">
        <f>(I4-N3)*1000</f>
        <v>-20.047314516205006</v>
      </c>
      <c r="K4" s="10">
        <f>(3.486231+J4*3.1/1000000)</f>
        <v>3.4861688533249997</v>
      </c>
      <c r="L4" s="3">
        <f>(K4-3.486231)/3.498623</f>
        <v>-1.7763181400332095E-05</v>
      </c>
      <c r="N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2016-01-14T18:42:38Z</cp:lastPrinted>
  <dcterms:created xsi:type="dcterms:W3CDTF">2007-10-02T20:06:08Z</dcterms:created>
  <dcterms:modified xsi:type="dcterms:W3CDTF">2016-01-14T18:46:59Z</dcterms:modified>
  <cp:category/>
  <cp:version/>
  <cp:contentType/>
  <cp:contentStatus/>
</cp:coreProperties>
</file>