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23835" windowHeight="140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25" i="1"/>
  <c r="J11"/>
  <c r="I11"/>
  <c r="H11"/>
  <c r="G11"/>
  <c r="J24"/>
  <c r="J23"/>
  <c r="H10"/>
  <c r="G10"/>
  <c r="H9"/>
  <c r="G9"/>
  <c r="H8"/>
  <c r="G8"/>
  <c r="J8"/>
  <c r="I8"/>
  <c r="J7"/>
  <c r="I7"/>
  <c r="H7"/>
  <c r="G7"/>
  <c r="L5"/>
  <c r="K5"/>
  <c r="J4"/>
  <c r="I4"/>
  <c r="N6"/>
  <c r="M6"/>
  <c r="H6"/>
  <c r="G6"/>
  <c r="H2"/>
  <c r="G2"/>
  <c r="M5"/>
  <c r="M4"/>
  <c r="M3"/>
  <c r="M2"/>
  <c r="N5"/>
  <c r="N4"/>
  <c r="N3"/>
  <c r="N2"/>
  <c r="D3"/>
  <c r="E3" s="1"/>
  <c r="E6"/>
  <c r="E5"/>
  <c r="E4"/>
  <c r="E2"/>
  <c r="D6"/>
  <c r="D5"/>
  <c r="D4"/>
  <c r="H20"/>
  <c r="G20"/>
  <c r="J5"/>
  <c r="H3"/>
  <c r="H4"/>
  <c r="H5"/>
  <c r="I5"/>
  <c r="G5"/>
  <c r="G3"/>
  <c r="G4"/>
  <c r="D2"/>
</calcChain>
</file>

<file path=xl/sharedStrings.xml><?xml version="1.0" encoding="utf-8"?>
<sst xmlns="http://schemas.openxmlformats.org/spreadsheetml/2006/main" count="40" uniqueCount="29">
  <si>
    <t>Hall Run #</t>
  </si>
  <si>
    <t>Wire Run #</t>
  </si>
  <si>
    <t>Degauss f</t>
  </si>
  <si>
    <t>Up or Down</t>
  </si>
  <si>
    <t>Up</t>
  </si>
  <si>
    <t>B field mean Tesla</t>
  </si>
  <si>
    <t>Calculated Hall Bdl</t>
  </si>
  <si>
    <t>Bdl Field repeat</t>
  </si>
  <si>
    <t>STDEV</t>
  </si>
  <si>
    <t>Earth's Field whole wire outside of magnet gap 0.381 m</t>
  </si>
  <si>
    <t>Earth's Field whole wire out of magnet gap 1.016 m</t>
  </si>
  <si>
    <t>Hall Bdl + Earths Field 15</t>
  </si>
  <si>
    <t>Hall Bdl + Earths Field 14</t>
  </si>
  <si>
    <t>Magnet Length (m)</t>
  </si>
  <si>
    <t>Magnet 1/2 gap (m)</t>
  </si>
  <si>
    <t>Bdl Field Wire</t>
  </si>
  <si>
    <t>7 &amp; 11</t>
  </si>
  <si>
    <t>15 &amp; 16</t>
  </si>
  <si>
    <t>0.85 Average</t>
  </si>
  <si>
    <t>0.88 Average</t>
  </si>
  <si>
    <t>Using 0.88 for Degauss</t>
  </si>
  <si>
    <t>Up, Main switched off using relay</t>
  </si>
  <si>
    <t>17 &amp; 18</t>
  </si>
  <si>
    <t xml:space="preserve"> Degauss Runs 17</t>
  </si>
  <si>
    <t xml:space="preserve"> Degauss Runs 18</t>
  </si>
  <si>
    <t xml:space="preserve"> Degauss Runs 13&amp;14</t>
  </si>
  <si>
    <t xml:space="preserve"> Degauss Runs 10</t>
  </si>
  <si>
    <t xml:space="preserve"> Degauss Runs 6 and 8</t>
  </si>
  <si>
    <t>0.88 Average Relay open</t>
  </si>
</sst>
</file>

<file path=xl/styles.xml><?xml version="1.0" encoding="utf-8"?>
<styleSheet xmlns="http://schemas.openxmlformats.org/spreadsheetml/2006/main">
  <numFmts count="3">
    <numFmt numFmtId="164" formatCode="0.000E+00"/>
    <numFmt numFmtId="165" formatCode="0.00000E+00"/>
    <numFmt numFmtId="166" formatCode="0.0000E+00"/>
  </numFmts>
  <fonts count="2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8">
    <xf numFmtId="0" fontId="0" fillId="0" borderId="0" xfId="0"/>
    <xf numFmtId="11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165" fontId="0" fillId="0" borderId="0" xfId="0" applyNumberFormat="1"/>
    <xf numFmtId="166" fontId="0" fillId="0" borderId="0" xfId="0" applyNumberFormat="1"/>
    <xf numFmtId="0" fontId="1" fillId="2" borderId="0" xfId="1"/>
    <xf numFmtId="164" fontId="1" fillId="2" borderId="0" xfId="1" applyNumberFormat="1"/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>
      <selection activeCell="G31" sqref="G31"/>
    </sheetView>
  </sheetViews>
  <sheetFormatPr defaultRowHeight="15"/>
  <cols>
    <col min="1" max="1" width="17.85546875" customWidth="1"/>
    <col min="2" max="2" width="14.85546875" customWidth="1"/>
    <col min="3" max="3" width="16.5703125" customWidth="1"/>
    <col min="4" max="5" width="19.140625" customWidth="1"/>
    <col min="6" max="6" width="19.85546875" customWidth="1"/>
    <col min="7" max="8" width="15.28515625" customWidth="1"/>
    <col min="9" max="9" width="15.42578125" customWidth="1"/>
    <col min="10" max="10" width="13.85546875" customWidth="1"/>
    <col min="11" max="11" width="16.140625" customWidth="1"/>
    <col min="12" max="12" width="13.85546875" customWidth="1"/>
    <col min="13" max="13" width="24.7109375" customWidth="1"/>
    <col min="14" max="14" width="22" customWidth="1"/>
  </cols>
  <sheetData>
    <row r="1" spans="1:14">
      <c r="A1" t="s">
        <v>2</v>
      </c>
      <c r="B1" t="s">
        <v>3</v>
      </c>
      <c r="C1" t="s">
        <v>0</v>
      </c>
      <c r="D1" t="s">
        <v>5</v>
      </c>
      <c r="E1" t="s">
        <v>6</v>
      </c>
      <c r="F1" t="s">
        <v>1</v>
      </c>
      <c r="G1" t="s">
        <v>15</v>
      </c>
      <c r="H1" t="s">
        <v>8</v>
      </c>
      <c r="I1" t="s">
        <v>7</v>
      </c>
      <c r="J1" t="s">
        <v>8</v>
      </c>
      <c r="K1" t="s">
        <v>7</v>
      </c>
      <c r="L1" t="s">
        <v>8</v>
      </c>
      <c r="M1" t="s">
        <v>11</v>
      </c>
      <c r="N1" t="s">
        <v>12</v>
      </c>
    </row>
    <row r="2" spans="1:14">
      <c r="A2">
        <v>0.9</v>
      </c>
      <c r="B2" t="s">
        <v>4</v>
      </c>
      <c r="C2">
        <v>9</v>
      </c>
      <c r="D2" s="2">
        <f>AVERAGE(0.000075,0.000079,0.000077)</f>
        <v>7.7000000000000001E-5</v>
      </c>
      <c r="E2" s="1">
        <f>D2*($B$15+2*$B$16)</f>
        <v>2.7997200000000004E-5</v>
      </c>
      <c r="F2">
        <v>9</v>
      </c>
      <c r="G2" s="2">
        <f>AVERAGE( -0.0000810341, -0.0000855397, -0.0000966768     )</f>
        <v>-8.7750200000000006E-5</v>
      </c>
      <c r="H2" s="2">
        <f>STDEV( -0.0000810341, -0.0000855397, -0.0000966768     )</f>
        <v>8.0522200982089355E-6</v>
      </c>
      <c r="M2" s="1">
        <f>E2+$E$21</f>
        <v>4.0761200000000005E-5</v>
      </c>
      <c r="N2" s="1">
        <f>E2+$E$20</f>
        <v>6.2034199999999996E-5</v>
      </c>
    </row>
    <row r="3" spans="1:14">
      <c r="A3">
        <v>0.92</v>
      </c>
      <c r="B3" t="s">
        <v>4</v>
      </c>
      <c r="C3">
        <v>10</v>
      </c>
      <c r="D3" s="2">
        <f>AVERAGE(0.000665,0.0006750000679)</f>
        <v>6.7000003394999995E-4</v>
      </c>
      <c r="E3" s="1">
        <f t="shared" ref="E3:E6" si="0">D3*($B$15+2*$B$16)</f>
        <v>2.4361201234422E-4</v>
      </c>
      <c r="F3">
        <v>5</v>
      </c>
      <c r="G3" s="2">
        <f>AVERAGE( -0.000280124,-0.000280002,-0.000295363, -0.000287376   )</f>
        <v>-2.8571624999999996E-4</v>
      </c>
      <c r="H3" s="2">
        <f>STDEV( -0.000280124,-0.000280002,-0.000295363, -0.000287376   )</f>
        <v>7.2970420662530533E-6</v>
      </c>
      <c r="M3" s="1">
        <f>E3+$E$21</f>
        <v>2.5637601234421999E-4</v>
      </c>
      <c r="N3" s="1">
        <f>E3+$E$20</f>
        <v>2.7764901234421998E-4</v>
      </c>
    </row>
    <row r="4" spans="1:14">
      <c r="A4">
        <v>0.88</v>
      </c>
      <c r="B4" t="s">
        <v>4</v>
      </c>
      <c r="C4">
        <v>11</v>
      </c>
      <c r="D4" s="2">
        <f>AVERAGE(-0.000086,-0.000075)</f>
        <v>-8.0500000000000005E-5</v>
      </c>
      <c r="E4" s="1">
        <f t="shared" si="0"/>
        <v>-2.9269800000000006E-5</v>
      </c>
      <c r="F4" t="s">
        <v>16</v>
      </c>
      <c r="G4" s="2">
        <f>AVERAGE(-0.0000112624,-0.0000136924,  -0.000012216,  -0.0000123596  )</f>
        <v>-1.2382599999999999E-5</v>
      </c>
      <c r="H4" s="2">
        <f>STDEV(-0.0000112624,-0.0000136924,  -0.000012216,  -0.0000123596  )</f>
        <v>9.9978475016708751E-7</v>
      </c>
      <c r="I4" s="2">
        <f>AVERAGE( -0.0000364346, -0.0000312138, -0.000018671   )</f>
        <v>-2.8773133333333334E-5</v>
      </c>
      <c r="J4" s="2">
        <f>STDEV( -0.0000364346, -0.0000312138, -0.000018671   )</f>
        <v>9.1298418153510918E-6</v>
      </c>
      <c r="K4" s="2"/>
      <c r="L4" s="2"/>
      <c r="M4" s="1">
        <f>E4+$E$21</f>
        <v>-1.6505800000000007E-5</v>
      </c>
      <c r="N4" s="1">
        <f>E4+$E$20</f>
        <v>4.7671999999999939E-6</v>
      </c>
    </row>
    <row r="5" spans="1:14">
      <c r="A5">
        <v>0.85</v>
      </c>
      <c r="B5" t="s">
        <v>4</v>
      </c>
      <c r="C5">
        <v>12</v>
      </c>
      <c r="D5" s="2">
        <f>AVERAGE(-0.000013,-0.000015,-0.000013)</f>
        <v>-1.3666666666666667E-5</v>
      </c>
      <c r="E5" s="1">
        <f t="shared" si="0"/>
        <v>-4.9692000000000006E-6</v>
      </c>
      <c r="F5" s="3" t="s">
        <v>27</v>
      </c>
      <c r="G5" s="2">
        <f>AVERAGE( -0.0000151364, -0.0000188855,-0.0000202591  )</f>
        <v>-1.8093666666666669E-5</v>
      </c>
      <c r="H5" s="2">
        <f>STDEV( -0.0000151364, -0.0000188855,-0.0000202591  )</f>
        <v>2.6515587572847292E-6</v>
      </c>
      <c r="I5">
        <f>AVERAGE(-0.0000185482,-0.0000167991,-0.0000178573  )</f>
        <v>-1.7734866666666669E-5</v>
      </c>
      <c r="J5">
        <f>STDEV(-0.0000185482,-0.0000167991,-0.0000178573  )</f>
        <v>8.8095410966368344E-7</v>
      </c>
      <c r="K5">
        <f>AVERAGE(-0.0000274942,  -0.0000365662,-0.0000305217,-0.0000418702  )</f>
        <v>-3.4113075000000002E-5</v>
      </c>
      <c r="L5">
        <f>STDEV(-0.0000274942,  -0.0000365662,-0.0000305217,-0.0000418702  )</f>
        <v>6.4004763152831044E-6</v>
      </c>
      <c r="M5" s="1">
        <f>E5+$E$21</f>
        <v>7.7947999999999986E-6</v>
      </c>
      <c r="N5" s="1">
        <f>E5+$E$20</f>
        <v>2.90678E-5</v>
      </c>
    </row>
    <row r="6" spans="1:14">
      <c r="A6">
        <v>0.82499999999999996</v>
      </c>
      <c r="B6" t="s">
        <v>4</v>
      </c>
      <c r="C6">
        <v>13</v>
      </c>
      <c r="D6" s="2">
        <f>AVERAGE(-0.000205,-0.000211,-0.000211)</f>
        <v>-2.0900000000000001E-4</v>
      </c>
      <c r="E6" s="1">
        <f t="shared" si="0"/>
        <v>-7.5992400000000015E-5</v>
      </c>
      <c r="F6" t="s">
        <v>26</v>
      </c>
      <c r="G6" s="2">
        <f>AVERAGE(0.000028985,0.00003451,0.00003459 )</f>
        <v>3.2695000000000005E-5</v>
      </c>
      <c r="H6" s="2">
        <f>STDEV(0.000028985,0.00003451,0.00003459 )</f>
        <v>3.2132032304228741E-6</v>
      </c>
      <c r="M6" s="1">
        <f>E6+$E$21</f>
        <v>-6.3228400000000013E-5</v>
      </c>
      <c r="N6" s="1">
        <f>E6+$E$20</f>
        <v>-4.1955400000000015E-5</v>
      </c>
    </row>
    <row r="7" spans="1:14">
      <c r="A7">
        <v>0.85</v>
      </c>
      <c r="B7" t="s">
        <v>4</v>
      </c>
      <c r="F7" t="s">
        <v>25</v>
      </c>
      <c r="G7">
        <f>AVERAGE(  -0.0000245169,-0.0000331063,-0.0000205284,-0.0000294374   )</f>
        <v>-2.6897250000000001E-5</v>
      </c>
      <c r="H7">
        <f>STDEV(  -0.0000245169,-0.0000331063,-0.0000205284,-0.0000294374   )</f>
        <v>5.5146163471874143E-6</v>
      </c>
      <c r="I7" s="4">
        <f>AVERAGE(-0.0000286875,  -0.0000229,  -0.0000283646,  -0.0000323479  )</f>
        <v>-2.8075000000000001E-5</v>
      </c>
      <c r="J7" s="4">
        <f>STDEV(-0.0000286875,  -0.0000229,  -0.0000283646,  -0.0000323479  )</f>
        <v>3.8943259502340924E-6</v>
      </c>
    </row>
    <row r="8" spans="1:14">
      <c r="A8">
        <v>0.88</v>
      </c>
      <c r="B8" t="s">
        <v>4</v>
      </c>
      <c r="F8" t="s">
        <v>17</v>
      </c>
      <c r="G8">
        <f>AVERAGE(-0.0000295313,-0.0000272208,  -0.0000270396,-0.0000197958    )</f>
        <v>-2.5896874999999998E-5</v>
      </c>
      <c r="H8">
        <f>STDEV(-0.0000295313,-0.0000272208,  -0.0000270396,-0.0000197958    )</f>
        <v>4.2225884268420001E-6</v>
      </c>
      <c r="I8">
        <f>AVERAGE(-0.0000285083, -0.0000256875, -0.0000239, -0.0000280771  )</f>
        <v>-2.6543225000000002E-5</v>
      </c>
      <c r="J8">
        <f>STDEV(-0.0000285083, -0.0000256875, -0.0000239, -0.0000280771  )</f>
        <v>2.1550866917984209E-6</v>
      </c>
    </row>
    <row r="9" spans="1:14">
      <c r="A9">
        <v>0.86499999999999999</v>
      </c>
      <c r="B9" t="s">
        <v>4</v>
      </c>
      <c r="F9" t="s">
        <v>23</v>
      </c>
      <c r="G9">
        <f>AVERAGE(-0.00005885,  -0.0000582542, -0.0000634875,-0.0000643521  )</f>
        <v>-6.1235950000000004E-5</v>
      </c>
      <c r="H9">
        <f>STDEV(-0.00005885,  -0.0000582542, -0.0000634875,-0.0000643521  )</f>
        <v>3.1285491147388663E-6</v>
      </c>
      <c r="I9" s="4"/>
      <c r="J9" s="4"/>
    </row>
    <row r="10" spans="1:14">
      <c r="A10">
        <v>0.83750000000000002</v>
      </c>
      <c r="B10" t="s">
        <v>4</v>
      </c>
      <c r="F10" t="s">
        <v>24</v>
      </c>
      <c r="G10" s="5">
        <f>AVERAGE(-0.000122071,  -0.000110896,  -0.000117081,-0.000116885    )</f>
        <v>-1.1673325E-4</v>
      </c>
      <c r="H10">
        <f>STDEV(-0.000122071,  -0.000110896,  -0.000117081,-0.000116885    )</f>
        <v>4.5719806338901545E-6</v>
      </c>
      <c r="I10" s="4"/>
      <c r="J10" s="4"/>
    </row>
    <row r="11" spans="1:14">
      <c r="A11">
        <v>0.88</v>
      </c>
      <c r="B11" t="s">
        <v>21</v>
      </c>
      <c r="F11" t="s">
        <v>22</v>
      </c>
      <c r="G11">
        <f>AVERAGE(0.00000715417,0.0000164062,0.00000200833    )</f>
        <v>8.5228999999999993E-6</v>
      </c>
      <c r="H11">
        <f>STDEV(0.00000715417,0.0000164062,0.00000200833    )</f>
        <v>7.2958708523314749E-6</v>
      </c>
      <c r="I11">
        <f>AVERAGE(0.00000787363,0.00000266012, 0.00000575762 )</f>
        <v>5.4304566666666675E-6</v>
      </c>
      <c r="J11">
        <f>STDEV(0.00000787363,0.00000266012, 0.00000575762 )</f>
        <v>2.622107647491486E-6</v>
      </c>
    </row>
    <row r="12" spans="1:14">
      <c r="I12" s="4"/>
      <c r="J12" s="4"/>
    </row>
    <row r="13" spans="1:14">
      <c r="I13" s="4"/>
      <c r="J13" s="4"/>
    </row>
    <row r="14" spans="1:14">
      <c r="I14" s="4"/>
      <c r="J14" s="4"/>
    </row>
    <row r="15" spans="1:14">
      <c r="A15" t="s">
        <v>13</v>
      </c>
      <c r="B15">
        <v>0.35560000000000003</v>
      </c>
      <c r="E15" s="1"/>
    </row>
    <row r="16" spans="1:14">
      <c r="A16" t="s">
        <v>14</v>
      </c>
      <c r="B16">
        <v>4.0000000000000001E-3</v>
      </c>
    </row>
    <row r="20" spans="1:10">
      <c r="A20" t="s">
        <v>10</v>
      </c>
      <c r="E20" s="2">
        <v>3.4037E-5</v>
      </c>
      <c r="F20" s="2"/>
      <c r="G20" s="2">
        <f>AVERAGE( -0.0000342062,  -0.0000338903   )</f>
        <v>-3.404825E-5</v>
      </c>
      <c r="H20" s="2">
        <f>STDEV( -0.0000342062,  -0.0000338903   )</f>
        <v>2.2337503217682663E-7</v>
      </c>
    </row>
    <row r="21" spans="1:10">
      <c r="A21" t="s">
        <v>9</v>
      </c>
      <c r="E21" s="2">
        <v>1.2764E-5</v>
      </c>
      <c r="F21" s="2"/>
      <c r="G21" s="1"/>
      <c r="H21" s="2"/>
    </row>
    <row r="23" spans="1:10">
      <c r="I23" t="s">
        <v>18</v>
      </c>
      <c r="J23">
        <f>(AVERAGE(G7,I7,K5))</f>
        <v>-2.9695108333333335E-5</v>
      </c>
    </row>
    <row r="24" spans="1:10">
      <c r="G24" t="s">
        <v>20</v>
      </c>
      <c r="I24" s="6" t="s">
        <v>19</v>
      </c>
      <c r="J24" s="7">
        <f>AVERAGE(G8,I8,I4)</f>
        <v>-2.7071077777777778E-5</v>
      </c>
    </row>
    <row r="25" spans="1:10">
      <c r="H25" s="6" t="s">
        <v>28</v>
      </c>
      <c r="I25" s="6"/>
      <c r="J25" s="6">
        <f>AVERAGE(G11,I11)</f>
        <v>6.9766783333333334E-6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Anderson</dc:creator>
  <cp:lastModifiedBy>Scott Anderson</cp:lastModifiedBy>
  <dcterms:created xsi:type="dcterms:W3CDTF">2011-10-03T17:25:34Z</dcterms:created>
  <dcterms:modified xsi:type="dcterms:W3CDTF">2011-10-06T21:02:59Z</dcterms:modified>
</cp:coreProperties>
</file>